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aslukac/Documents/Pracovne/111_DEUS_HW_obmena/17082022_pripomienky_UHP_2kolo/"/>
    </mc:Choice>
  </mc:AlternateContent>
  <xr:revisionPtr revIDLastSave="0" documentId="13_ncr:1_{2F952587-7188-8344-A479-ADBDC42D2882}" xr6:coauthVersionLast="46" xr6:coauthVersionMax="46" xr10:uidLastSave="{00000000-0000-0000-0000-000000000000}"/>
  <bookViews>
    <workbookView xWindow="0" yWindow="500" windowWidth="28800" windowHeight="16120" activeTab="6" xr2:uid="{563CB817-FD20-416F-B8F4-26A380BEFA8F}"/>
  </bookViews>
  <sheets>
    <sheet name="SUMAR" sheetId="3" r:id="rId1"/>
    <sheet name="Kalkulacka_OBMENA IKT" sheetId="1" r:id="rId2"/>
    <sheet name="Kalkulacka_PODPORA_Agendy" sheetId="2" r:id="rId3"/>
    <sheet name="Individualne" sheetId="10" r:id="rId4"/>
    <sheet name="ASIS" sheetId="11" r:id="rId5"/>
    <sheet name="Rozpocet Ziadost" sheetId="12" r:id="rId6"/>
    <sheet name="Gartner analysis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F13" i="1"/>
  <c r="C13" i="1"/>
  <c r="D15" i="12"/>
  <c r="E15" i="12" s="1"/>
  <c r="B15" i="12"/>
  <c r="E14" i="12"/>
  <c r="D14" i="12"/>
  <c r="B14" i="12"/>
  <c r="B13" i="12"/>
  <c r="D13" i="12" s="1"/>
  <c r="E8" i="12"/>
  <c r="D8" i="12"/>
  <c r="B8" i="12"/>
  <c r="B7" i="12"/>
  <c r="D7" i="12" s="1"/>
  <c r="E7" i="12" s="1"/>
  <c r="E6" i="12"/>
  <c r="D6" i="12"/>
  <c r="E5" i="12"/>
  <c r="D5" i="12"/>
  <c r="B5" i="12"/>
  <c r="D4" i="12"/>
  <c r="E4" i="12" s="1"/>
  <c r="C29" i="11"/>
  <c r="C16" i="11"/>
  <c r="B16" i="11"/>
  <c r="D16" i="11" s="1"/>
  <c r="C15" i="11"/>
  <c r="D15" i="11" s="1"/>
  <c r="B14" i="11"/>
  <c r="C13" i="11"/>
  <c r="C14" i="11" s="1"/>
  <c r="B13" i="11"/>
  <c r="D13" i="11" s="1"/>
  <c r="D5" i="11"/>
  <c r="D4" i="11"/>
  <c r="D3" i="11"/>
  <c r="B2" i="11"/>
  <c r="D2" i="11" s="1"/>
  <c r="B7" i="10"/>
  <c r="B14" i="10"/>
  <c r="E14" i="10" s="1"/>
  <c r="B13" i="10"/>
  <c r="C13" i="10" s="1"/>
  <c r="B12" i="10"/>
  <c r="B11" i="10"/>
  <c r="B10" i="10"/>
  <c r="B9" i="10"/>
  <c r="B8" i="10"/>
  <c r="B6" i="10"/>
  <c r="B5" i="10"/>
  <c r="B53" i="10"/>
  <c r="B52" i="10"/>
  <c r="C52" i="10" s="1"/>
  <c r="B51" i="10"/>
  <c r="C51" i="10" s="1"/>
  <c r="B50" i="10"/>
  <c r="C50" i="10" s="1"/>
  <c r="B49" i="10"/>
  <c r="C49" i="10" s="1"/>
  <c r="B48" i="10"/>
  <c r="C48" i="10" s="1"/>
  <c r="B47" i="10"/>
  <c r="B46" i="10"/>
  <c r="C46" i="10" s="1"/>
  <c r="B45" i="10"/>
  <c r="B44" i="10"/>
  <c r="B40" i="10"/>
  <c r="B39" i="10"/>
  <c r="B38" i="10"/>
  <c r="B37" i="10"/>
  <c r="C37" i="10" s="1"/>
  <c r="B36" i="10"/>
  <c r="B35" i="10"/>
  <c r="B34" i="10"/>
  <c r="B33" i="10"/>
  <c r="B32" i="10"/>
  <c r="B31" i="10"/>
  <c r="B27" i="10"/>
  <c r="C27" i="10" s="1"/>
  <c r="B26" i="10"/>
  <c r="C26" i="10" s="1"/>
  <c r="B25" i="10"/>
  <c r="C25" i="10" s="1"/>
  <c r="B24" i="10"/>
  <c r="B23" i="10"/>
  <c r="C23" i="10" s="1"/>
  <c r="B22" i="10"/>
  <c r="C22" i="10" s="1"/>
  <c r="B21" i="10"/>
  <c r="C21" i="10" s="1"/>
  <c r="B20" i="10"/>
  <c r="C20" i="10" s="1"/>
  <c r="B19" i="10"/>
  <c r="E6" i="10" s="1"/>
  <c r="B18" i="10"/>
  <c r="B54" i="10"/>
  <c r="C54" i="10" s="1"/>
  <c r="C53" i="10"/>
  <c r="C45" i="10"/>
  <c r="C44" i="10"/>
  <c r="B41" i="10"/>
  <c r="C41" i="10" s="1"/>
  <c r="C40" i="10"/>
  <c r="C39" i="10"/>
  <c r="C38" i="10"/>
  <c r="C35" i="10"/>
  <c r="C34" i="10"/>
  <c r="C33" i="10"/>
  <c r="C32" i="10"/>
  <c r="C31" i="10"/>
  <c r="B28" i="10"/>
  <c r="C28" i="10" s="1"/>
  <c r="C24" i="10"/>
  <c r="E13" i="12" l="1"/>
  <c r="D16" i="12"/>
  <c r="E16" i="12" s="1"/>
  <c r="D14" i="11"/>
  <c r="D17" i="11" s="1"/>
  <c r="D9" i="12"/>
  <c r="B15" i="10"/>
  <c r="E10" i="10"/>
  <c r="C8" i="10"/>
  <c r="C5" i="10"/>
  <c r="E5" i="10"/>
  <c r="E8" i="10"/>
  <c r="C18" i="10"/>
  <c r="C19" i="10"/>
  <c r="E11" i="10"/>
  <c r="C36" i="10"/>
  <c r="E9" i="10"/>
  <c r="E12" i="10"/>
  <c r="E13" i="10"/>
  <c r="E7" i="10"/>
  <c r="C47" i="10"/>
  <c r="C10" i="10"/>
  <c r="C11" i="10"/>
  <c r="C6" i="10"/>
  <c r="C14" i="10"/>
  <c r="C12" i="10"/>
  <c r="C7" i="10"/>
  <c r="C27" i="1"/>
  <c r="E9" i="12" l="1"/>
  <c r="D20" i="12"/>
  <c r="E20" i="12" s="1"/>
  <c r="C9" i="10"/>
  <c r="C15" i="10"/>
  <c r="D35" i="2"/>
  <c r="L3" i="3"/>
  <c r="K3" i="3"/>
  <c r="J3" i="3"/>
  <c r="G3" i="3"/>
  <c r="F3" i="3"/>
  <c r="E3" i="3"/>
  <c r="D3" i="3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B44" i="2"/>
  <c r="F40" i="2"/>
  <c r="E40" i="2"/>
  <c r="L38" i="2"/>
  <c r="K38" i="2"/>
  <c r="J38" i="2"/>
  <c r="I38" i="2"/>
  <c r="H38" i="2"/>
  <c r="G38" i="2"/>
  <c r="F38" i="2"/>
  <c r="E38" i="2"/>
  <c r="D38" i="2"/>
  <c r="C38" i="2"/>
  <c r="G40" i="2"/>
  <c r="L37" i="2"/>
  <c r="K37" i="2"/>
  <c r="J37" i="2"/>
  <c r="I37" i="2"/>
  <c r="H37" i="2"/>
  <c r="G37" i="2"/>
  <c r="F37" i="2"/>
  <c r="E37" i="2"/>
  <c r="D37" i="2"/>
  <c r="C37" i="2"/>
  <c r="L39" i="2"/>
  <c r="D36" i="2"/>
  <c r="E36" i="2"/>
  <c r="F36" i="2"/>
  <c r="G36" i="2"/>
  <c r="H36" i="2"/>
  <c r="I36" i="2"/>
  <c r="J36" i="2"/>
  <c r="K36" i="2"/>
  <c r="L36" i="2"/>
  <c r="E35" i="2"/>
  <c r="F35" i="2"/>
  <c r="G35" i="2"/>
  <c r="H35" i="2"/>
  <c r="I35" i="2"/>
  <c r="J35" i="2"/>
  <c r="K35" i="2"/>
  <c r="L35" i="2"/>
  <c r="C30" i="2"/>
  <c r="C27" i="2"/>
  <c r="E26" i="2"/>
  <c r="D26" i="2"/>
  <c r="C26" i="2"/>
  <c r="L25" i="2"/>
  <c r="K25" i="2"/>
  <c r="J25" i="2"/>
  <c r="I25" i="2"/>
  <c r="H25" i="2"/>
  <c r="G25" i="2"/>
  <c r="F25" i="2"/>
  <c r="E25" i="2"/>
  <c r="D25" i="2"/>
  <c r="L27" i="2"/>
  <c r="C25" i="2"/>
  <c r="G27" i="2"/>
  <c r="G5" i="2"/>
  <c r="L24" i="2"/>
  <c r="K24" i="2"/>
  <c r="J24" i="2"/>
  <c r="I24" i="2"/>
  <c r="H24" i="2"/>
  <c r="G24" i="2"/>
  <c r="F24" i="2"/>
  <c r="K26" i="2"/>
  <c r="E24" i="2"/>
  <c r="D24" i="2"/>
  <c r="C24" i="2"/>
  <c r="H26" i="2"/>
  <c r="E17" i="2"/>
  <c r="F17" i="2"/>
  <c r="G17" i="2"/>
  <c r="H17" i="2"/>
  <c r="I17" i="2"/>
  <c r="J17" i="2"/>
  <c r="K17" i="2"/>
  <c r="L17" i="2"/>
  <c r="D17" i="2"/>
  <c r="C17" i="2"/>
  <c r="E23" i="2"/>
  <c r="F23" i="2"/>
  <c r="G23" i="2"/>
  <c r="H23" i="2"/>
  <c r="I23" i="2"/>
  <c r="J23" i="2"/>
  <c r="K23" i="2"/>
  <c r="L23" i="2"/>
  <c r="D23" i="2"/>
  <c r="F22" i="2"/>
  <c r="G22" i="2"/>
  <c r="H22" i="2"/>
  <c r="I22" i="2"/>
  <c r="J22" i="2"/>
  <c r="K22" i="2"/>
  <c r="L22" i="2"/>
  <c r="E22" i="2"/>
  <c r="D22" i="2"/>
  <c r="B13" i="2"/>
  <c r="B3" i="2"/>
  <c r="C28" i="1"/>
  <c r="D26" i="1"/>
  <c r="E26" i="1" s="1"/>
  <c r="D25" i="1"/>
  <c r="E25" i="1" s="1"/>
  <c r="F25" i="1" s="1"/>
  <c r="G25" i="1" s="1"/>
  <c r="H25" i="1" s="1"/>
  <c r="I25" i="1" s="1"/>
  <c r="J25" i="1" s="1"/>
  <c r="K25" i="1" s="1"/>
  <c r="L25" i="1" s="1"/>
  <c r="C38" i="1"/>
  <c r="K39" i="1"/>
  <c r="D36" i="1"/>
  <c r="D38" i="1"/>
  <c r="E36" i="1"/>
  <c r="E38" i="1"/>
  <c r="F36" i="1"/>
  <c r="F38" i="1"/>
  <c r="G36" i="1"/>
  <c r="G38" i="1"/>
  <c r="H36" i="1"/>
  <c r="H38" i="1"/>
  <c r="I36" i="1"/>
  <c r="I38" i="1"/>
  <c r="J36" i="1"/>
  <c r="J38" i="1"/>
  <c r="K36" i="1"/>
  <c r="K38" i="1"/>
  <c r="L36" i="1"/>
  <c r="L38" i="1"/>
  <c r="B17" i="1"/>
  <c r="B35" i="1"/>
  <c r="B38" i="1"/>
  <c r="B37" i="1"/>
  <c r="B36" i="1"/>
  <c r="B34" i="1"/>
  <c r="B24" i="1"/>
  <c r="B23" i="1"/>
  <c r="L39" i="1"/>
  <c r="H39" i="1"/>
  <c r="E39" i="1"/>
  <c r="I39" i="1"/>
  <c r="C39" i="1"/>
  <c r="F39" i="1"/>
  <c r="J39" i="1"/>
  <c r="D39" i="1"/>
  <c r="G39" i="1"/>
  <c r="C4" i="2"/>
  <c r="E4" i="2"/>
  <c r="C5" i="2"/>
  <c r="H4" i="2"/>
  <c r="H27" i="2"/>
  <c r="G39" i="2"/>
  <c r="L26" i="2"/>
  <c r="L4" i="2"/>
  <c r="J27" i="2"/>
  <c r="I39" i="2"/>
  <c r="K27" i="2"/>
  <c r="K5" i="2"/>
  <c r="H40" i="2"/>
  <c r="F26" i="2"/>
  <c r="F4" i="2"/>
  <c r="D27" i="2"/>
  <c r="C39" i="2"/>
  <c r="I40" i="2"/>
  <c r="G26" i="2"/>
  <c r="G4" i="2"/>
  <c r="E27" i="2"/>
  <c r="E5" i="2"/>
  <c r="D39" i="2"/>
  <c r="D4" i="2"/>
  <c r="J40" i="2"/>
  <c r="F27" i="2"/>
  <c r="F5" i="2"/>
  <c r="F1" i="2"/>
  <c r="E39" i="2"/>
  <c r="C40" i="2"/>
  <c r="K40" i="2"/>
  <c r="I26" i="2"/>
  <c r="F39" i="2"/>
  <c r="D40" i="2"/>
  <c r="L40" i="2"/>
  <c r="L5" i="2"/>
  <c r="J26" i="2"/>
  <c r="J4" i="2"/>
  <c r="J39" i="2"/>
  <c r="I27" i="2"/>
  <c r="I5" i="2"/>
  <c r="H39" i="2"/>
  <c r="K39" i="2"/>
  <c r="K4" i="2"/>
  <c r="D30" i="2"/>
  <c r="B24" i="2"/>
  <c r="B14" i="2"/>
  <c r="E1" i="2"/>
  <c r="C1" i="2"/>
  <c r="I4" i="2"/>
  <c r="J5" i="2"/>
  <c r="J1" i="2"/>
  <c r="G1" i="2"/>
  <c r="D5" i="2"/>
  <c r="D1" i="2"/>
  <c r="H5" i="2"/>
  <c r="H1" i="2"/>
  <c r="E30" i="2"/>
  <c r="L1" i="2"/>
  <c r="K1" i="2"/>
  <c r="I1" i="2"/>
  <c r="F30" i="2"/>
  <c r="G30" i="2"/>
  <c r="B25" i="2"/>
  <c r="H30" i="2"/>
  <c r="I30" i="2"/>
  <c r="J30" i="2"/>
  <c r="K30" i="2"/>
  <c r="L30" i="2"/>
  <c r="B37" i="2"/>
  <c r="B38" i="2"/>
  <c r="B43" i="2"/>
  <c r="I3" i="3"/>
  <c r="I3" i="1" l="1"/>
  <c r="C3" i="1"/>
  <c r="C3" i="3" s="1"/>
  <c r="H14" i="1"/>
  <c r="G14" i="1"/>
  <c r="C14" i="1"/>
  <c r="C4" i="1" s="1"/>
  <c r="C4" i="3" s="1"/>
  <c r="D14" i="1"/>
  <c r="L14" i="1"/>
  <c r="E14" i="1"/>
  <c r="F14" i="1"/>
  <c r="B25" i="1"/>
  <c r="K14" i="1"/>
  <c r="I14" i="1"/>
  <c r="J14" i="1"/>
  <c r="B13" i="1"/>
  <c r="D27" i="1"/>
  <c r="D28" i="1" s="1"/>
  <c r="D4" i="1" s="1"/>
  <c r="E27" i="1"/>
  <c r="F27" i="1" l="1"/>
  <c r="D4" i="3"/>
  <c r="F28" i="1"/>
  <c r="F4" i="1" s="1"/>
  <c r="E28" i="1"/>
  <c r="E4" i="1" s="1"/>
  <c r="F4" i="3" l="1"/>
  <c r="G27" i="1"/>
  <c r="E4" i="3"/>
  <c r="G28" i="1" l="1"/>
  <c r="G4" i="1" s="1"/>
  <c r="H27" i="1"/>
  <c r="H28" i="1" s="1"/>
  <c r="H4" i="1" s="1"/>
  <c r="H4" i="3" l="1"/>
  <c r="I27" i="1"/>
  <c r="G4" i="3"/>
  <c r="I28" i="1" l="1"/>
  <c r="J27" i="1"/>
  <c r="J28" i="1" s="1"/>
  <c r="J4" i="1" s="1"/>
  <c r="J4" i="3" s="1"/>
  <c r="I4" i="1" l="1"/>
  <c r="I4" i="3" s="1"/>
  <c r="K27" i="1"/>
  <c r="K28" i="1" s="1"/>
  <c r="K4" i="1" s="1"/>
  <c r="K4" i="3" s="1"/>
  <c r="L27" i="1"/>
  <c r="L28" i="1" s="1"/>
  <c r="L4" i="1" s="1"/>
  <c r="L4" i="3" s="1"/>
  <c r="B26" i="1"/>
  <c r="B27" i="1" l="1"/>
  <c r="H3" i="3" l="1"/>
  <c r="B3" i="3" s="1"/>
  <c r="B3" i="1"/>
  <c r="H16" i="1" s="1"/>
  <c r="D16" i="1" l="1"/>
  <c r="L16" i="1"/>
  <c r="C16" i="1"/>
  <c r="C5" i="1" s="1"/>
  <c r="I16" i="1"/>
  <c r="K16" i="1"/>
  <c r="J16" i="1"/>
  <c r="G16" i="1"/>
  <c r="F16" i="1"/>
  <c r="E16" i="1"/>
  <c r="G18" i="1" l="1"/>
  <c r="C5" i="3"/>
  <c r="C1" i="3" s="1"/>
  <c r="C1" i="1"/>
  <c r="D5" i="1"/>
  <c r="D1" i="1" s="1"/>
  <c r="H18" i="1"/>
  <c r="K18" i="1"/>
  <c r="E18" i="1"/>
  <c r="D18" i="1"/>
  <c r="F18" i="1"/>
  <c r="C18" i="1"/>
  <c r="J18" i="1"/>
  <c r="L18" i="1"/>
  <c r="B16" i="1"/>
  <c r="I18" i="1"/>
  <c r="E5" i="1" l="1"/>
  <c r="D5" i="3"/>
  <c r="D1" i="3" s="1"/>
  <c r="F5" i="1"/>
  <c r="E5" i="3"/>
  <c r="E1" i="3" s="1"/>
  <c r="E1" i="1"/>
  <c r="F5" i="3" l="1"/>
  <c r="F1" i="3" s="1"/>
  <c r="F1" i="1"/>
  <c r="G5" i="1"/>
  <c r="H5" i="1" s="1"/>
  <c r="I5" i="1" l="1"/>
  <c r="H1" i="1"/>
  <c r="H5" i="3"/>
  <c r="H1" i="3" s="1"/>
  <c r="G5" i="3"/>
  <c r="G1" i="3" s="1"/>
  <c r="G1" i="1"/>
  <c r="I5" i="3" l="1"/>
  <c r="I1" i="3" s="1"/>
  <c r="I1" i="1"/>
  <c r="J5" i="1"/>
  <c r="J1" i="1" l="1"/>
  <c r="J5" i="3"/>
  <c r="J1" i="3" s="1"/>
  <c r="K5" i="1"/>
  <c r="K5" i="3" l="1"/>
  <c r="K1" i="3" s="1"/>
  <c r="L5" i="1"/>
  <c r="K1" i="1"/>
  <c r="L1" i="1" l="1"/>
  <c r="L5" i="3"/>
  <c r="L1" i="3" s="1"/>
</calcChain>
</file>

<file path=xl/sharedStrings.xml><?xml version="1.0" encoding="utf-8"?>
<sst xmlns="http://schemas.openxmlformats.org/spreadsheetml/2006/main" count="270" uniqueCount="136">
  <si>
    <t>Investicne vydavky</t>
  </si>
  <si>
    <t>Počet dotknutých pracovníkov</t>
  </si>
  <si>
    <t>Znemožnenie výkonu povolania</t>
  </si>
  <si>
    <t>Premenné</t>
  </si>
  <si>
    <t>% Výpadkov</t>
  </si>
  <si>
    <t>% Práce na ktoré využívajú zariadenie</t>
  </si>
  <si>
    <t>Náklady na výpadky</t>
  </si>
  <si>
    <t>Náklady na výpadky - kumulatív</t>
  </si>
  <si>
    <t>Zníženie rizika výpadku služby</t>
  </si>
  <si>
    <t>% Výpadku služby</t>
  </si>
  <si>
    <t>Náklady na prestoje</t>
  </si>
  <si>
    <t>Počet podaní - ročne</t>
  </si>
  <si>
    <t>Dĺžka trvania služby - min</t>
  </si>
  <si>
    <t>Náklady na prestoje - kumulatív</t>
  </si>
  <si>
    <t>Prevádzkové náklady</t>
  </si>
  <si>
    <t>Ročné prevádzkové náklady - TO BE - SLA</t>
  </si>
  <si>
    <t>Ročné prevádzkové náklady - TO BE - ROZVOJ</t>
  </si>
  <si>
    <t>Ročné prevádzkové náklady - AS IS - SLA</t>
  </si>
  <si>
    <t>Rok Návratnosti</t>
  </si>
  <si>
    <t>Prevadzka - AS IS - kumulatív</t>
  </si>
  <si>
    <t>Prevadzka - TO BE - kumulatív</t>
  </si>
  <si>
    <t>Prevádzkové náklady - TO BE - SLA %</t>
  </si>
  <si>
    <t>Valorizačné % mzdy</t>
  </si>
  <si>
    <t>Mzdový náklad</t>
  </si>
  <si>
    <t>Nárast výpadku služby v %</t>
  </si>
  <si>
    <t>Priemerná hodinová mzda</t>
  </si>
  <si>
    <t>Valorizácia mzdy v %</t>
  </si>
  <si>
    <t>Kumulatívne vydavky AS IS</t>
  </si>
  <si>
    <t>Kumulatívne výdavky TO BE</t>
  </si>
  <si>
    <t>Uplatneny case</t>
  </si>
  <si>
    <t>Prevadzkove naklady</t>
  </si>
  <si>
    <t>ANO</t>
  </si>
  <si>
    <t>Sumár / Roky</t>
  </si>
  <si>
    <t xml:space="preserve"> - </t>
  </si>
  <si>
    <t xml:space="preserve"> -</t>
  </si>
  <si>
    <t>% Predĺženia služby</t>
  </si>
  <si>
    <t>Nárast výpadkov počas rokov</t>
  </si>
  <si>
    <t>Úspora nákladov na strane štátu</t>
  </si>
  <si>
    <t>Úspora nákladov klienta</t>
  </si>
  <si>
    <t>Kvalitatívna úspora</t>
  </si>
  <si>
    <t>Počet uživateľských požiadaviek v systéme</t>
  </si>
  <si>
    <t>Počet uživateľských požiadaviek - AS IS</t>
  </si>
  <si>
    <t>Počet uživateľských požiadaviek - TO BE</t>
  </si>
  <si>
    <t>Valorizácia mzdy</t>
  </si>
  <si>
    <t>Čas spracovania podania AS IS</t>
  </si>
  <si>
    <t>Materiálové náklady AS IS</t>
  </si>
  <si>
    <t>Náklady na podania AS IS</t>
  </si>
  <si>
    <t>Náklady na podania TO BE</t>
  </si>
  <si>
    <t>Mzdové náklady hodinový</t>
  </si>
  <si>
    <t>Inflačný kooeficient</t>
  </si>
  <si>
    <t>Kumulatívne náklady AS IS</t>
  </si>
  <si>
    <t>Kumulatívne náklady TO BE</t>
  </si>
  <si>
    <t>Úspora nákladov na strane žiadateľa</t>
  </si>
  <si>
    <t>Čas vypracovania podania - žiadateľ AS IS</t>
  </si>
  <si>
    <t>Čas vypracovania podania - žiadateľ TO BE</t>
  </si>
  <si>
    <t>Kvalitatívny prínos</t>
  </si>
  <si>
    <t>Hodnota nákladov AS IS</t>
  </si>
  <si>
    <t>Hodnota nákladov TO BE</t>
  </si>
  <si>
    <t>Materiálové náklady TO BE</t>
  </si>
  <si>
    <t>Čas spracovania podania TO BE</t>
  </si>
  <si>
    <t>Uplatnený case</t>
  </si>
  <si>
    <t>Počet</t>
  </si>
  <si>
    <t>Antivírus</t>
  </si>
  <si>
    <t>Kancelársky balík</t>
  </si>
  <si>
    <t>Multifunkčné zariadenie</t>
  </si>
  <si>
    <t>Monitor</t>
  </si>
  <si>
    <t>Notebook s príslušenstvom</t>
  </si>
  <si>
    <t>Jednotková cena</t>
  </si>
  <si>
    <t>Cena celkom bez DPH</t>
  </si>
  <si>
    <t>Výmena operačného systému práca</t>
  </si>
  <si>
    <t>Výmena OS - licencia - WIN 11 pro</t>
  </si>
  <si>
    <t>MS Office 2021</t>
  </si>
  <si>
    <t>Priebežné opravy a výmeny častí HW</t>
  </si>
  <si>
    <t>NIE</t>
  </si>
  <si>
    <t>https://www.otgroup.ca/business-technology-insights/evaluating-the-true-cost-of-outdated-hardware-for-your-business</t>
  </si>
  <si>
    <t>jednotka</t>
  </si>
  <si>
    <t>počet zamestnancov</t>
  </si>
  <si>
    <t>Výpadok v práci za rok kvôli opravám</t>
  </si>
  <si>
    <t>zníženie produktivity kvôli pomalému HW</t>
  </si>
  <si>
    <t>hodina/rok</t>
  </si>
  <si>
    <t>Osobné náklady (Cper)</t>
  </si>
  <si>
    <t xml:space="preserve">Cper = (W_ps * Odvody) / Fond pracovnej doby. Odvody (SP, ZP, DP) sú 35,2%“. Osobné náklady sú faktorom prevádzkových variabilných nákladov.
</t>
  </si>
  <si>
    <t>EUR/hod</t>
  </si>
  <si>
    <t>Fond pracovnej doby - VS (FPDvs)</t>
  </si>
  <si>
    <t xml:space="preserve">Rok 2021 má dokopy 251 pracovných dní, t.j. 1882,5 pracovných hodín. S platenými sviatkami má rok 261 pracovných dní, t.j. 1957.5 pracovných hodín. 7,5 hodinový pracovný čas (obdobie aktualizovať k času predloženia dokumentu), podľa https://calendar.zoznam.sk/worktime-sksk.php </t>
  </si>
  <si>
    <t>hod/rok</t>
  </si>
  <si>
    <t>Priemer ponúk</t>
  </si>
  <si>
    <t>Cena celkom s DPH</t>
  </si>
  <si>
    <t>Klávesnica</t>
  </si>
  <si>
    <t>Myš</t>
  </si>
  <si>
    <t>Rozvoz infraštruktúry do obcí</t>
  </si>
  <si>
    <t>Konfigurácia, zapojenie a uvedenie do prevádzky zariadení obce</t>
  </si>
  <si>
    <t>Konfigurácia, zapojenie a uvedenie do prevádzky multifunkčnej tlačiarne</t>
  </si>
  <si>
    <t>PHZ Celkom</t>
  </si>
  <si>
    <t>Datalan</t>
  </si>
  <si>
    <t>Celkom Datalan</t>
  </si>
  <si>
    <t>EMM</t>
  </si>
  <si>
    <t>Celkom EMM</t>
  </si>
  <si>
    <t>SWAN</t>
  </si>
  <si>
    <t>Celkom SWAN</t>
  </si>
  <si>
    <r>
      <t xml:space="preserve">Vyhodnotenie PHZ pre 14000 VPN klientov a </t>
    </r>
    <r>
      <rPr>
        <b/>
        <sz val="14"/>
        <color rgb="FFFF0000"/>
        <rFont val="Calibri"/>
        <family val="2"/>
        <charset val="238"/>
        <scheme val="minor"/>
      </rPr>
      <t>individuálne riešenie</t>
    </r>
    <r>
      <rPr>
        <b/>
        <sz val="14"/>
        <color theme="1"/>
        <rFont val="Calibri"/>
        <family val="2"/>
        <charset val="238"/>
        <scheme val="minor"/>
      </rPr>
      <t xml:space="preserve">. </t>
    </r>
    <r>
      <rPr>
        <b/>
        <sz val="18"/>
        <color theme="1"/>
        <rFont val="Calibri"/>
        <family val="2"/>
        <charset val="238"/>
        <scheme val="minor"/>
      </rPr>
      <t>HW</t>
    </r>
    <r>
      <rPr>
        <b/>
        <sz val="14"/>
        <color theme="1"/>
        <rFont val="Calibri"/>
        <family val="2"/>
        <charset val="238"/>
        <scheme val="minor"/>
      </rPr>
      <t xml:space="preserve"> riešenie. K 27.5.2022</t>
    </r>
  </si>
  <si>
    <t>Typ nákladu</t>
  </si>
  <si>
    <t>Početnosť počas referenčného obdobia</t>
  </si>
  <si>
    <t>Poznámka</t>
  </si>
  <si>
    <t>1x počas referenčného obdobia</t>
  </si>
  <si>
    <t>počet per 1 zamestnanec</t>
  </si>
  <si>
    <t>zdroj pre početnosť</t>
  </si>
  <si>
    <t>Jedn. naklad bez dph</t>
  </si>
  <si>
    <t>Celkom bez DPH</t>
  </si>
  <si>
    <t xml:space="preserve"> Cena je súčet aktivít v riadkoch 13, 14 a 15 v liste Rozpocet ziadost </t>
  </si>
  <si>
    <t>Nie je možné použiť Win11Pro, lebo starý HW už nespĺňa požiadavky Windows 11. Z uvedeného dôvodu je nutné migrovať iba na Windows 10 Pro. Cena uvedená v kalkulácii vychádza z metodického usmernenia Ministerstva investícií. Cena za ročné používanie Windows 10 Enterprise E3: 54,72 EUR. Za tri roky používania do konca podpory Wndows 10  v októbri 2025 je to 164,16 EUR.</t>
  </si>
  <si>
    <t>https://www.mirri.gov.sk/wp-content/uploads/2021/06/Usmernenie-k-realiz%C3%A1cii-VO-produktov-a-slu%C5%BEieb-Microsoft-prostredn%C3%ADctvom-DNS.pdf</t>
  </si>
  <si>
    <t xml:space="preserve"> Z dôvodu prevádzky zariadení len do 10/2025 tri ročné paušály v zmysle zmluvy podľa vyššieho bodu. 3*58,08=  174,24 € </t>
  </si>
  <si>
    <t xml:space="preserve"> Udržiavanie existujúceho HW - opravy, náhradné diely (výmeny HDD za SSD, zvýšenie RAM, opravy) - 25% z celkového počtu. Odhad v zmysle grafu na liste Gartner analysis. V cene náhradný kus, cestovné a inštalačné práce. Kvalifikovaný odhad. </t>
  </si>
  <si>
    <t>Náklady počítané iba do 14.10.2025. Potom bude ukončená podpora Windows 10 a bude nutné všetky počítače aj tak vymeniť z dôvodu bezpečnostných požiadaviek. Aktuálne používané počítače už nespĺňajú požiadavky Windows 11.</t>
  </si>
  <si>
    <t>V prípade zafinancovania nového HW je zabezpečená udržateľnosť s nulovými nákladmi minimálne do roku 2028. Predpokladaná udržateľnosť s primeranými servisnými nákladmi bez nutnosti migrovať na vyššiu verziu Windows maximalne do roku 2030.</t>
  </si>
  <si>
    <t>Pre udržateľnosť zariadení do 2030 bude potrebné obmeniť všetky zariadenia s WIN 10.</t>
  </si>
  <si>
    <t>Výmena zostávajúcich PC/NB</t>
  </si>
  <si>
    <t>Práce spojené s pripojením nového NB</t>
  </si>
  <si>
    <t>Multifunkčné zariadenie po životnosti</t>
  </si>
  <si>
    <t>Práce implementácie multifunkčnej tl.</t>
  </si>
  <si>
    <t>Straty v dôsledku starého HW</t>
  </si>
  <si>
    <t>dní/rok</t>
  </si>
  <si>
    <t>https://techtalk.currys.co.uk/computing/workplace-productivity/</t>
  </si>
  <si>
    <t>hodín/rok</t>
  </si>
  <si>
    <t>https://news.microsoft.com/en-nz/2018/10/16/true-cost-of-not-replacing-computers-revealed-in-microsoft-study-more-than-4000-each/</t>
  </si>
  <si>
    <t>Kalkulácia dodávky nového HW pre existujúce DCOM obce</t>
  </si>
  <si>
    <t>Dodávka HW</t>
  </si>
  <si>
    <t>Jednotková cena bez DPH</t>
  </si>
  <si>
    <t>Celkom s DPH</t>
  </si>
  <si>
    <t>Ceny určené ako priemer dvoch nižších ponúk z prieskumu trhu.</t>
  </si>
  <si>
    <t>Celkom HW</t>
  </si>
  <si>
    <t>Inštalačné práce</t>
  </si>
  <si>
    <t>Celkové náklady HW + inštalácia</t>
  </si>
  <si>
    <t>Na konci šiesteho roka prevádzky v zmysle štúdie</t>
  </si>
  <si>
    <t>Mezdi šiestym až desiatym rokom prevádzky ( v prípade iba upgrade na Win10) možné počítať s odhadom 25% opravy a 25% výmena - čo je v danom momente efektívnejšie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</si>
</sst>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164" formatCode="#,##0\ &quot;€&quot;"/>
    <numFmt numFmtId="165" formatCode="#,##0.00\ &quot;€&quot;"/>
    <numFmt numFmtId="166" formatCode="_-* #,##0.00\ &quot;€&quot;_-;\-* #,##0.00\ &quot;€&quot;_-;_-* &quot;-&quot;??\ &quot;€&quot;_-;_-@_-"/>
  </numFmts>
  <fonts count="18" x14ac:knownFonts="1">
    <font>
      <sz val="10"/>
      <color theme="1"/>
      <name val="Calibri Light"/>
      <family val="2"/>
      <charset val="238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0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u/>
      <sz val="10"/>
      <color theme="1"/>
      <name val="Calibri Light"/>
      <family val="2"/>
      <charset val="238"/>
    </font>
    <font>
      <sz val="8"/>
      <color rgb="FF000000"/>
      <name val="Tahoma"/>
      <family val="2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8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1" xfId="0" applyFill="1" applyBorder="1"/>
    <xf numFmtId="0" fontId="2" fillId="3" borderId="1" xfId="0" applyFon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9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9" fontId="0" fillId="2" borderId="2" xfId="0" applyNumberFormat="1" applyFill="1" applyBorder="1"/>
    <xf numFmtId="9" fontId="0" fillId="2" borderId="3" xfId="0" applyNumberFormat="1" applyFill="1" applyBorder="1"/>
    <xf numFmtId="0" fontId="0" fillId="5" borderId="1" xfId="0" applyFill="1" applyBorder="1"/>
    <xf numFmtId="9" fontId="0" fillId="2" borderId="4" xfId="0" applyNumberFormat="1" applyFill="1" applyBorder="1"/>
    <xf numFmtId="9" fontId="0" fillId="2" borderId="5" xfId="0" applyNumberFormat="1" applyFill="1" applyBorder="1"/>
    <xf numFmtId="9" fontId="0" fillId="2" borderId="6" xfId="0" applyNumberFormat="1" applyFill="1" applyBorder="1"/>
    <xf numFmtId="9" fontId="0" fillId="2" borderId="7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164" fontId="0" fillId="2" borderId="4" xfId="0" applyNumberFormat="1" applyFill="1" applyBorder="1" applyAlignment="1"/>
    <xf numFmtId="164" fontId="0" fillId="2" borderId="5" xfId="0" applyNumberFormat="1" applyFill="1" applyBorder="1" applyAlignment="1"/>
    <xf numFmtId="164" fontId="0" fillId="2" borderId="8" xfId="0" applyNumberFormat="1" applyFill="1" applyBorder="1" applyAlignment="1"/>
    <xf numFmtId="164" fontId="0" fillId="2" borderId="0" xfId="0" applyNumberFormat="1" applyFill="1" applyBorder="1" applyAlignment="1"/>
    <xf numFmtId="164" fontId="0" fillId="2" borderId="6" xfId="0" applyNumberFormat="1" applyFill="1" applyBorder="1" applyAlignment="1"/>
    <xf numFmtId="164" fontId="0" fillId="2" borderId="7" xfId="0" applyNumberFormat="1" applyFill="1" applyBorder="1" applyAlignment="1"/>
    <xf numFmtId="9" fontId="3" fillId="4" borderId="1" xfId="0" applyNumberFormat="1" applyFont="1" applyFill="1" applyBorder="1"/>
    <xf numFmtId="164" fontId="3" fillId="4" borderId="1" xfId="0" applyNumberFormat="1" applyFont="1" applyFill="1" applyBorder="1"/>
    <xf numFmtId="3" fontId="0" fillId="5" borderId="1" xfId="0" applyNumberFormat="1" applyFill="1" applyBorder="1"/>
    <xf numFmtId="0" fontId="2" fillId="2" borderId="1" xfId="0" applyFont="1" applyFill="1" applyBorder="1" applyAlignment="1">
      <alignment horizontal="center"/>
    </xf>
    <xf numFmtId="4" fontId="0" fillId="4" borderId="1" xfId="0" applyNumberFormat="1" applyFill="1" applyBorder="1"/>
    <xf numFmtId="165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/>
    <xf numFmtId="165" fontId="0" fillId="5" borderId="1" xfId="0" applyNumberFormat="1" applyFill="1" applyBorder="1"/>
    <xf numFmtId="165" fontId="2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0" fillId="5" borderId="10" xfId="0" applyFill="1" applyBorder="1"/>
    <xf numFmtId="0" fontId="0" fillId="5" borderId="11" xfId="0" applyFill="1" applyBorder="1"/>
    <xf numFmtId="0" fontId="2" fillId="3" borderId="12" xfId="0" applyFont="1" applyFill="1" applyBorder="1"/>
    <xf numFmtId="0" fontId="2" fillId="3" borderId="13" xfId="0" applyFont="1" applyFill="1" applyBorder="1"/>
    <xf numFmtId="164" fontId="0" fillId="4" borderId="13" xfId="0" applyNumberFormat="1" applyFill="1" applyBorder="1"/>
    <xf numFmtId="164" fontId="0" fillId="5" borderId="13" xfId="0" applyNumberFormat="1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1" fillId="3" borderId="12" xfId="0" applyFont="1" applyFill="1" applyBorder="1"/>
    <xf numFmtId="0" fontId="2" fillId="3" borderId="12" xfId="0" applyFont="1" applyFill="1" applyBorder="1" applyAlignment="1">
      <alignment wrapText="1"/>
    </xf>
    <xf numFmtId="4" fontId="0" fillId="4" borderId="13" xfId="0" applyNumberFormat="1" applyFill="1" applyBorder="1"/>
    <xf numFmtId="0" fontId="2" fillId="3" borderId="12" xfId="0" applyFont="1" applyFill="1" applyBorder="1" applyAlignment="1">
      <alignment horizontal="left"/>
    </xf>
    <xf numFmtId="165" fontId="2" fillId="5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5" borderId="13" xfId="0" applyNumberFormat="1" applyFill="1" applyBorder="1"/>
    <xf numFmtId="0" fontId="2" fillId="3" borderId="16" xfId="0" applyFont="1" applyFill="1" applyBorder="1"/>
    <xf numFmtId="164" fontId="0" fillId="5" borderId="0" xfId="0" applyNumberFormat="1" applyFill="1" applyBorder="1"/>
    <xf numFmtId="164" fontId="0" fillId="5" borderId="15" xfId="0" applyNumberFormat="1" applyFill="1" applyBorder="1"/>
    <xf numFmtId="165" fontId="3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0" fontId="2" fillId="3" borderId="17" xfId="0" applyFont="1" applyFill="1" applyBorder="1"/>
    <xf numFmtId="165" fontId="3" fillId="5" borderId="18" xfId="0" applyNumberFormat="1" applyFont="1" applyFill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0" fontId="2" fillId="3" borderId="20" xfId="0" applyFont="1" applyFill="1" applyBorder="1"/>
    <xf numFmtId="164" fontId="0" fillId="5" borderId="18" xfId="0" applyNumberFormat="1" applyFill="1" applyBorder="1" applyAlignment="1">
      <alignment horizontal="right"/>
    </xf>
    <xf numFmtId="164" fontId="0" fillId="5" borderId="21" xfId="0" applyNumberFormat="1" applyFill="1" applyBorder="1"/>
    <xf numFmtId="164" fontId="0" fillId="5" borderId="22" xfId="0" applyNumberFormat="1" applyFill="1" applyBorder="1"/>
    <xf numFmtId="164" fontId="0" fillId="5" borderId="18" xfId="0" applyNumberFormat="1" applyFill="1" applyBorder="1"/>
    <xf numFmtId="164" fontId="0" fillId="5" borderId="19" xfId="0" applyNumberFormat="1" applyFill="1" applyBorder="1"/>
    <xf numFmtId="164" fontId="0" fillId="4" borderId="13" xfId="0" applyNumberFormat="1" applyFill="1" applyBorder="1" applyAlignment="1">
      <alignment horizontal="center"/>
    </xf>
    <xf numFmtId="0" fontId="1" fillId="3" borderId="17" xfId="0" applyFont="1" applyFill="1" applyBorder="1"/>
    <xf numFmtId="164" fontId="0" fillId="4" borderId="19" xfId="0" applyNumberFormat="1" applyFill="1" applyBorder="1" applyAlignment="1">
      <alignment horizontal="center"/>
    </xf>
    <xf numFmtId="0" fontId="2" fillId="3" borderId="17" xfId="0" applyFont="1" applyFill="1" applyBorder="1" applyAlignment="1">
      <alignment wrapText="1"/>
    </xf>
    <xf numFmtId="3" fontId="0" fillId="5" borderId="18" xfId="0" applyNumberFormat="1" applyFill="1" applyBorder="1"/>
    <xf numFmtId="4" fontId="0" fillId="4" borderId="18" xfId="0" applyNumberFormat="1" applyFill="1" applyBorder="1"/>
    <xf numFmtId="4" fontId="0" fillId="4" borderId="19" xfId="0" applyNumberFormat="1" applyFill="1" applyBorder="1"/>
    <xf numFmtId="164" fontId="0" fillId="2" borderId="26" xfId="0" applyNumberFormat="1" applyFill="1" applyBorder="1" applyAlignment="1"/>
    <xf numFmtId="164" fontId="0" fillId="2" borderId="15" xfId="0" applyNumberFormat="1" applyFill="1" applyBorder="1" applyAlignment="1"/>
    <xf numFmtId="164" fontId="0" fillId="2" borderId="27" xfId="0" applyNumberFormat="1" applyFill="1" applyBorder="1" applyAlignment="1"/>
    <xf numFmtId="0" fontId="0" fillId="4" borderId="13" xfId="0" applyFill="1" applyBorder="1"/>
    <xf numFmtId="9" fontId="0" fillId="5" borderId="13" xfId="0" applyNumberFormat="1" applyFill="1" applyBorder="1"/>
    <xf numFmtId="9" fontId="0" fillId="4" borderId="13" xfId="0" applyNumberFormat="1" applyFill="1" applyBorder="1"/>
    <xf numFmtId="0" fontId="0" fillId="5" borderId="18" xfId="0" applyFill="1" applyBorder="1" applyAlignment="1">
      <alignment horizontal="right"/>
    </xf>
    <xf numFmtId="9" fontId="0" fillId="2" borderId="26" xfId="0" applyNumberFormat="1" applyFill="1" applyBorder="1"/>
    <xf numFmtId="9" fontId="0" fillId="2" borderId="27" xfId="0" applyNumberFormat="1" applyFill="1" applyBorder="1"/>
    <xf numFmtId="9" fontId="0" fillId="2" borderId="28" xfId="0" applyNumberFormat="1" applyFill="1" applyBorder="1"/>
    <xf numFmtId="166" fontId="0" fillId="0" borderId="0" xfId="3" applyFont="1"/>
    <xf numFmtId="3" fontId="0" fillId="0" borderId="0" xfId="3" applyNumberFormat="1" applyFont="1" applyFill="1" applyBorder="1"/>
    <xf numFmtId="164" fontId="8" fillId="4" borderId="1" xfId="0" applyNumberFormat="1" applyFont="1" applyFill="1" applyBorder="1"/>
    <xf numFmtId="0" fontId="7" fillId="0" borderId="0" xfId="4"/>
    <xf numFmtId="0" fontId="9" fillId="0" borderId="0" xfId="5"/>
    <xf numFmtId="166" fontId="0" fillId="0" borderId="0" xfId="6" applyFont="1"/>
    <xf numFmtId="0" fontId="6" fillId="0" borderId="37" xfId="5" applyFont="1" applyBorder="1"/>
    <xf numFmtId="166" fontId="0" fillId="0" borderId="36" xfId="6" applyFont="1" applyBorder="1"/>
    <xf numFmtId="166" fontId="0" fillId="0" borderId="35" xfId="6" applyFont="1" applyBorder="1"/>
    <xf numFmtId="0" fontId="9" fillId="0" borderId="34" xfId="5" applyBorder="1"/>
    <xf numFmtId="166" fontId="0" fillId="0" borderId="33" xfId="6" applyFont="1" applyBorder="1"/>
    <xf numFmtId="166" fontId="0" fillId="0" borderId="32" xfId="6" applyFont="1" applyBorder="1"/>
    <xf numFmtId="166" fontId="9" fillId="0" borderId="0" xfId="5" applyNumberFormat="1"/>
    <xf numFmtId="0" fontId="5" fillId="0" borderId="31" xfId="5" applyFont="1" applyBorder="1"/>
    <xf numFmtId="166" fontId="5" fillId="0" borderId="30" xfId="6" applyFont="1" applyBorder="1"/>
    <xf numFmtId="166" fontId="5" fillId="0" borderId="29" xfId="6" applyFont="1" applyBorder="1"/>
    <xf numFmtId="0" fontId="6" fillId="0" borderId="0" xfId="5" applyFont="1"/>
    <xf numFmtId="0" fontId="5" fillId="0" borderId="0" xfId="5" applyFont="1"/>
    <xf numFmtId="166" fontId="5" fillId="0" borderId="0" xfId="6" applyFont="1"/>
    <xf numFmtId="164" fontId="0" fillId="4" borderId="1" xfId="0" applyNumberFormat="1" applyFont="1" applyFill="1" applyBorder="1"/>
    <xf numFmtId="0" fontId="13" fillId="0" borderId="33" xfId="0" applyFont="1" applyBorder="1" applyAlignment="1">
      <alignment horizontal="center" vertical="center"/>
    </xf>
    <xf numFmtId="166" fontId="5" fillId="0" borderId="33" xfId="3" applyFont="1" applyBorder="1" applyAlignment="1">
      <alignment horizontal="center" vertical="center" wrapText="1"/>
    </xf>
    <xf numFmtId="3" fontId="5" fillId="0" borderId="33" xfId="3" applyNumberFormat="1" applyFont="1" applyBorder="1" applyAlignment="1">
      <alignment horizontal="center" vertical="center" wrapText="1"/>
    </xf>
    <xf numFmtId="0" fontId="4" fillId="0" borderId="33" xfId="1" applyBorder="1" applyAlignment="1">
      <alignment horizontal="left" vertical="center"/>
    </xf>
    <xf numFmtId="166" fontId="0" fillId="0" borderId="33" xfId="3" applyFont="1" applyBorder="1" applyAlignment="1">
      <alignment horizontal="left" vertical="center"/>
    </xf>
    <xf numFmtId="3" fontId="0" fillId="0" borderId="33" xfId="3" applyNumberFormat="1" applyFont="1" applyBorder="1" applyAlignment="1">
      <alignment horizontal="left" vertical="center"/>
    </xf>
    <xf numFmtId="166" fontId="0" fillId="0" borderId="33" xfId="3" applyFont="1" applyBorder="1" applyAlignment="1">
      <alignment horizontal="left" vertical="center" wrapText="1"/>
    </xf>
    <xf numFmtId="3" fontId="0" fillId="0" borderId="33" xfId="3" applyNumberFormat="1" applyFont="1" applyFill="1" applyBorder="1" applyAlignment="1">
      <alignment horizontal="left" vertical="center"/>
    </xf>
    <xf numFmtId="0" fontId="4" fillId="0" borderId="0" xfId="1"/>
    <xf numFmtId="166" fontId="0" fillId="0" borderId="0" xfId="3" applyFont="1" applyBorder="1"/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/>
    <xf numFmtId="0" fontId="4" fillId="0" borderId="33" xfId="1" applyBorder="1"/>
    <xf numFmtId="0" fontId="12" fillId="0" borderId="33" xfId="0" applyFont="1" applyBorder="1"/>
    <xf numFmtId="3" fontId="12" fillId="0" borderId="33" xfId="3" applyNumberFormat="1" applyFont="1" applyFill="1" applyBorder="1"/>
    <xf numFmtId="166" fontId="14" fillId="0" borderId="33" xfId="4" applyNumberFormat="1" applyFont="1" applyFill="1" applyBorder="1"/>
    <xf numFmtId="0" fontId="0" fillId="0" borderId="33" xfId="0" applyBorder="1"/>
    <xf numFmtId="0" fontId="15" fillId="0" borderId="38" xfId="0" applyFont="1" applyBorder="1" applyAlignment="1">
      <alignment horizontal="right" vertical="center"/>
    </xf>
    <xf numFmtId="0" fontId="15" fillId="0" borderId="39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6" fillId="6" borderId="0" xfId="5" applyFont="1" applyFill="1" applyAlignment="1">
      <alignment horizontal="left"/>
    </xf>
    <xf numFmtId="44" fontId="0" fillId="0" borderId="33" xfId="0" applyNumberFormat="1" applyBorder="1"/>
    <xf numFmtId="166" fontId="0" fillId="0" borderId="33" xfId="3" applyFont="1" applyBorder="1"/>
    <xf numFmtId="0" fontId="0" fillId="0" borderId="33" xfId="3" applyNumberFormat="1" applyFont="1" applyBorder="1" applyAlignment="1">
      <alignment horizontal="left" vertical="center" wrapText="1"/>
    </xf>
    <xf numFmtId="0" fontId="4" fillId="0" borderId="0" xfId="1" applyAlignment="1">
      <alignment horizontal="left" vertical="center"/>
    </xf>
    <xf numFmtId="166" fontId="0" fillId="0" borderId="0" xfId="3" applyFont="1" applyBorder="1" applyAlignment="1">
      <alignment horizontal="left" vertical="center"/>
    </xf>
    <xf numFmtId="3" fontId="0" fillId="0" borderId="0" xfId="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3" applyNumberFormat="1" applyFont="1"/>
    <xf numFmtId="0" fontId="5" fillId="6" borderId="37" xfId="0" applyFont="1" applyFill="1" applyBorder="1" applyAlignment="1">
      <alignment horizontal="left" vertical="top" wrapText="1"/>
    </xf>
    <xf numFmtId="0" fontId="5" fillId="6" borderId="36" xfId="0" applyFont="1" applyFill="1" applyBorder="1" applyAlignment="1">
      <alignment horizontal="left" vertical="top" wrapText="1"/>
    </xf>
    <xf numFmtId="0" fontId="5" fillId="6" borderId="35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 vertical="center" wrapText="1"/>
    </xf>
    <xf numFmtId="166" fontId="5" fillId="0" borderId="36" xfId="3" applyFont="1" applyBorder="1" applyAlignment="1">
      <alignment horizontal="center" vertical="center" wrapText="1"/>
    </xf>
    <xf numFmtId="3" fontId="5" fillId="0" borderId="36" xfId="3" applyNumberFormat="1" applyFont="1" applyBorder="1" applyAlignment="1">
      <alignment horizontal="center" vertical="center" wrapText="1"/>
    </xf>
    <xf numFmtId="166" fontId="5" fillId="0" borderId="35" xfId="3" applyFont="1" applyBorder="1" applyAlignment="1">
      <alignment horizontal="center" vertical="center" wrapText="1"/>
    </xf>
    <xf numFmtId="0" fontId="0" fillId="0" borderId="34" xfId="0" applyBorder="1"/>
    <xf numFmtId="3" fontId="0" fillId="0" borderId="33" xfId="3" applyNumberFormat="1" applyFont="1" applyBorder="1"/>
    <xf numFmtId="166" fontId="0" fillId="0" borderId="32" xfId="3" applyFont="1" applyBorder="1"/>
    <xf numFmtId="0" fontId="0" fillId="0" borderId="40" xfId="0" applyBorder="1"/>
    <xf numFmtId="166" fontId="0" fillId="0" borderId="41" xfId="3" applyFont="1" applyBorder="1"/>
    <xf numFmtId="3" fontId="0" fillId="0" borderId="41" xfId="3" applyNumberFormat="1" applyFont="1" applyBorder="1"/>
    <xf numFmtId="0" fontId="5" fillId="6" borderId="42" xfId="0" applyFont="1" applyFill="1" applyBorder="1"/>
    <xf numFmtId="166" fontId="5" fillId="6" borderId="43" xfId="3" applyFont="1" applyFill="1" applyBorder="1"/>
    <xf numFmtId="3" fontId="5" fillId="6" borderId="43" xfId="3" applyNumberFormat="1" applyFont="1" applyFill="1" applyBorder="1"/>
    <xf numFmtId="166" fontId="5" fillId="6" borderId="44" xfId="3" applyFont="1" applyFill="1" applyBorder="1"/>
    <xf numFmtId="3" fontId="12" fillId="0" borderId="33" xfId="3" applyNumberFormat="1" applyFont="1" applyBorder="1"/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1" applyFont="1" applyAlignment="1">
      <alignment horizontal="left"/>
    </xf>
    <xf numFmtId="0" fontId="6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166" fontId="5" fillId="0" borderId="47" xfId="2" applyFont="1" applyBorder="1" applyAlignment="1">
      <alignment horizontal="center" vertical="center" wrapText="1"/>
    </xf>
    <xf numFmtId="166" fontId="5" fillId="0" borderId="48" xfId="2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37" xfId="1" applyBorder="1"/>
    <xf numFmtId="0" fontId="4" fillId="7" borderId="36" xfId="1" applyFill="1" applyBorder="1"/>
    <xf numFmtId="166" fontId="0" fillId="0" borderId="36" xfId="2" applyFont="1" applyBorder="1"/>
    <xf numFmtId="166" fontId="0" fillId="0" borderId="35" xfId="2" applyFont="1" applyBorder="1"/>
    <xf numFmtId="0" fontId="4" fillId="0" borderId="49" xfId="1" applyBorder="1" applyAlignment="1">
      <alignment horizontal="center" vertical="center" wrapText="1"/>
    </xf>
    <xf numFmtId="0" fontId="4" fillId="0" borderId="34" xfId="1" applyBorder="1"/>
    <xf numFmtId="166" fontId="0" fillId="0" borderId="33" xfId="2" applyFont="1" applyBorder="1"/>
    <xf numFmtId="166" fontId="0" fillId="0" borderId="32" xfId="2" applyFont="1" applyBorder="1"/>
    <xf numFmtId="0" fontId="4" fillId="7" borderId="33" xfId="1" applyFill="1" applyBorder="1"/>
    <xf numFmtId="0" fontId="5" fillId="5" borderId="42" xfId="1" applyFont="1" applyFill="1" applyBorder="1"/>
    <xf numFmtId="0" fontId="5" fillId="5" borderId="43" xfId="1" applyFont="1" applyFill="1" applyBorder="1"/>
    <xf numFmtId="166" fontId="5" fillId="5" borderId="43" xfId="2" applyFont="1" applyFill="1" applyBorder="1"/>
    <xf numFmtId="166" fontId="5" fillId="5" borderId="44" xfId="2" applyFont="1" applyFill="1" applyBorder="1"/>
    <xf numFmtId="0" fontId="6" fillId="0" borderId="46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 wrapText="1"/>
    </xf>
    <xf numFmtId="166" fontId="5" fillId="0" borderId="50" xfId="2" applyFont="1" applyBorder="1" applyAlignment="1">
      <alignment horizontal="center" vertical="center" wrapText="1"/>
    </xf>
    <xf numFmtId="166" fontId="5" fillId="0" borderId="51" xfId="2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52" xfId="1" applyBorder="1" applyAlignment="1">
      <alignment wrapText="1"/>
    </xf>
    <xf numFmtId="0" fontId="4" fillId="0" borderId="22" xfId="1" applyBorder="1"/>
    <xf numFmtId="166" fontId="0" fillId="0" borderId="53" xfId="2" applyFont="1" applyBorder="1"/>
    <xf numFmtId="166" fontId="0" fillId="0" borderId="54" xfId="2" applyFont="1" applyBorder="1"/>
    <xf numFmtId="0" fontId="4" fillId="0" borderId="55" xfId="1" applyBorder="1" applyAlignment="1">
      <alignment wrapText="1"/>
    </xf>
    <xf numFmtId="0" fontId="4" fillId="0" borderId="56" xfId="1" applyBorder="1"/>
    <xf numFmtId="0" fontId="16" fillId="0" borderId="0" xfId="7"/>
    <xf numFmtId="0" fontId="4" fillId="0" borderId="57" xfId="1" applyBorder="1" applyAlignment="1">
      <alignment wrapText="1"/>
    </xf>
    <xf numFmtId="0" fontId="17" fillId="8" borderId="0" xfId="1" applyFont="1" applyFill="1" applyAlignment="1">
      <alignment horizontal="center" vertical="center"/>
    </xf>
    <xf numFmtId="166" fontId="5" fillId="8" borderId="0" xfId="2" applyFont="1" applyFill="1" applyAlignment="1">
      <alignment horizontal="center" vertical="center" wrapText="1"/>
    </xf>
    <xf numFmtId="166" fontId="5" fillId="8" borderId="0" xfId="2" applyFont="1" applyFill="1"/>
  </cellXfs>
  <cellStyles count="8">
    <cellStyle name="Currency 2" xfId="3" xr:uid="{810BF1A4-6337-7940-9D94-4B2282A1FD5B}"/>
    <cellStyle name="Currency 3" xfId="6" xr:uid="{AE71196F-3FB6-FB4F-9A6B-8E138B51DE75}"/>
    <cellStyle name="Hyperlink" xfId="4" builtinId="8"/>
    <cellStyle name="Hyperlink 2" xfId="7" xr:uid="{5FB8B23F-4E11-CB4F-91DF-DDEAA1F8922E}"/>
    <cellStyle name="Mena 2" xfId="2" xr:uid="{B80417E9-0FF2-5A45-A8F3-C7B75F1A9C41}"/>
    <cellStyle name="Normal" xfId="0" builtinId="0"/>
    <cellStyle name="Normal 2" xfId="1" xr:uid="{F9A2B59C-55BF-9242-9896-4F687A954F5B}"/>
    <cellStyle name="Normal 3" xfId="5" xr:uid="{1B513815-0AAD-264B-B599-6BF815E46C5C}"/>
  </cellStyles>
  <dxfs count="9"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nákladov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SUMAR!$A$4</c:f>
              <c:strCache>
                <c:ptCount val="1"/>
                <c:pt idx="0">
                  <c:v>Kumulatívne vydavky AS 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SUMAR!$B$4:$L$4</c:f>
              <c:numCache>
                <c:formatCode>#\ ##0\ "€"</c:formatCode>
                <c:ptCount val="11"/>
                <c:pt idx="1">
                  <c:v>9671320.4044799991</c:v>
                </c:pt>
                <c:pt idx="2">
                  <c:v>15871081.412294399</c:v>
                </c:pt>
                <c:pt idx="3">
                  <c:v>22256835.250343233</c:v>
                </c:pt>
                <c:pt idx="4">
                  <c:v>35039164.486343235</c:v>
                </c:pt>
                <c:pt idx="5">
                  <c:v>35039164.486343235</c:v>
                </c:pt>
                <c:pt idx="6">
                  <c:v>35039164.486343235</c:v>
                </c:pt>
                <c:pt idx="7">
                  <c:v>35039164.486343235</c:v>
                </c:pt>
                <c:pt idx="8">
                  <c:v>35039164.486343235</c:v>
                </c:pt>
                <c:pt idx="9">
                  <c:v>35039164.486343235</c:v>
                </c:pt>
                <c:pt idx="10">
                  <c:v>47821493.722343236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2-47B8-B1AE-F6BB8D630019}"/>
            </c:ext>
          </c:extLst>
        </c:ser>
        <c:ser>
          <c:idx val="1"/>
          <c:order val="1"/>
          <c:tx>
            <c:strRef>
              <c:f>SUMAR!$A$5</c:f>
              <c:strCache>
                <c:ptCount val="1"/>
                <c:pt idx="0">
                  <c:v>Kumulatívne výdavky TO 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SUMAR!$B$5:$L$5</c:f>
              <c:numCache>
                <c:formatCode>#\ ##0\ "€"</c:formatCode>
                <c:ptCount val="11"/>
                <c:pt idx="1">
                  <c:v>19313827.284480002</c:v>
                </c:pt>
                <c:pt idx="2">
                  <c:v>19313827.284480002</c:v>
                </c:pt>
                <c:pt idx="3">
                  <c:v>19313827.284480002</c:v>
                </c:pt>
                <c:pt idx="4">
                  <c:v>19313827.284480002</c:v>
                </c:pt>
                <c:pt idx="5">
                  <c:v>19313827.284480002</c:v>
                </c:pt>
                <c:pt idx="6">
                  <c:v>20643291.468480002</c:v>
                </c:pt>
                <c:pt idx="7">
                  <c:v>20643291.468480002</c:v>
                </c:pt>
                <c:pt idx="8">
                  <c:v>20643291.468480002</c:v>
                </c:pt>
                <c:pt idx="9">
                  <c:v>20643291.468480002</c:v>
                </c:pt>
                <c:pt idx="10">
                  <c:v>20643291.468480002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2-47B8-B1AE-F6BB8D63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7487"/>
        <c:axId val="98377903"/>
      </c:lineChart>
      <c:catAx>
        <c:axId val="983774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K"/>
          </a:p>
        </c:txPr>
        <c:crossAx val="98377903"/>
        <c:crosses val="autoZero"/>
        <c:auto val="1"/>
        <c:lblAlgn val="ctr"/>
        <c:lblOffset val="100"/>
        <c:noMultiLvlLbl val="0"/>
      </c:catAx>
      <c:valAx>
        <c:axId val="98377903"/>
        <c:scaling>
          <c:orientation val="minMax"/>
          <c:max val="9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K"/>
          </a:p>
        </c:txPr>
        <c:crossAx val="98377487"/>
        <c:crosses val="autoZero"/>
        <c:crossBetween val="between"/>
        <c:majorUnit val="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6</xdr:row>
      <xdr:rowOff>33020</xdr:rowOff>
    </xdr:from>
    <xdr:to>
      <xdr:col>16</xdr:col>
      <xdr:colOff>292100</xdr:colOff>
      <xdr:row>39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819D169-55C4-4168-A319-3E734B2A8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599314</xdr:colOff>
      <xdr:row>22</xdr:row>
      <xdr:rowOff>132833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EF03DE5-F852-AB4C-9300-35D8773F3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90500"/>
          <a:ext cx="6657214" cy="4133333"/>
        </a:xfrm>
        <a:prstGeom prst="rect">
          <a:avLst/>
        </a:prstGeom>
      </xdr:spPr>
    </xdr:pic>
    <xdr:clientData/>
  </xdr:twoCellAnchor>
  <xdr:twoCellAnchor>
    <xdr:from>
      <xdr:col>8</xdr:col>
      <xdr:colOff>571500</xdr:colOff>
      <xdr:row>11</xdr:row>
      <xdr:rowOff>161925</xdr:rowOff>
    </xdr:from>
    <xdr:to>
      <xdr:col>11</xdr:col>
      <xdr:colOff>581025</xdr:colOff>
      <xdr:row>13</xdr:row>
      <xdr:rowOff>133350</xdr:rowOff>
    </xdr:to>
    <xdr:sp macro="" textlink="">
      <xdr:nvSpPr>
        <xdr:cNvPr id="3" name="Šípka: doprava 2">
          <a:extLst>
            <a:ext uri="{FF2B5EF4-FFF2-40B4-BE49-F238E27FC236}">
              <a16:creationId xmlns:a16="http://schemas.microsoft.com/office/drawing/2014/main" id="{AE89A62F-E71F-B943-9C87-3F29403CCC7F}"/>
            </a:ext>
          </a:extLst>
        </xdr:cNvPr>
        <xdr:cNvSpPr/>
      </xdr:nvSpPr>
      <xdr:spPr>
        <a:xfrm rot="10800000">
          <a:off x="5956300" y="2257425"/>
          <a:ext cx="2028825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echtalk.currys.co.uk/computing/workplace-productivity/" TargetMode="External"/><Relationship Id="rId2" Type="http://schemas.openxmlformats.org/officeDocument/2006/relationships/hyperlink" Target="https://www.otgroup.ca/business-technology-insights/evaluating-the-true-cost-of-outdated-hardware-for-your-business" TargetMode="External"/><Relationship Id="rId1" Type="http://schemas.openxmlformats.org/officeDocument/2006/relationships/hyperlink" Target="https://www.otgroup.ca/business-technology-insights/evaluating-the-true-cost-of-outdated-hardware-for-your-business" TargetMode="External"/><Relationship Id="rId4" Type="http://schemas.openxmlformats.org/officeDocument/2006/relationships/hyperlink" Target="https://news.microsoft.com/en-nz/2018/10/16/true-cost-of-not-replacing-computers-revealed-in-microsoft-study-more-than-4000-each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72AB4-ECA2-4B96-8E2F-B5D8AF26D673}">
  <dimension ref="A1:L5"/>
  <sheetViews>
    <sheetView topLeftCell="A2" workbookViewId="0">
      <selection activeCell="R12" sqref="R12"/>
    </sheetView>
  </sheetViews>
  <sheetFormatPr baseColWidth="10" defaultColWidth="9" defaultRowHeight="14" x14ac:dyDescent="0.2"/>
  <cols>
    <col min="1" max="1" width="40.796875" bestFit="1" customWidth="1"/>
    <col min="2" max="2" width="14.59765625" bestFit="1" customWidth="1"/>
    <col min="3" max="12" width="11.3984375" customWidth="1"/>
  </cols>
  <sheetData>
    <row r="1" spans="1:12" x14ac:dyDescent="0.2">
      <c r="A1" s="5" t="s">
        <v>18</v>
      </c>
      <c r="B1" s="4"/>
      <c r="C1" s="12" t="str">
        <f>IF(C5&lt;C4,"NAVRAT","")</f>
        <v/>
      </c>
      <c r="D1" s="12" t="str">
        <f t="shared" ref="D1:L1" si="0">IF(D5&lt;D4,"NAVRAT","")</f>
        <v/>
      </c>
      <c r="E1" s="12" t="str">
        <f t="shared" si="0"/>
        <v>NAVRAT</v>
      </c>
      <c r="F1" s="12" t="str">
        <f t="shared" si="0"/>
        <v>NAVRAT</v>
      </c>
      <c r="G1" s="12" t="str">
        <f t="shared" si="0"/>
        <v>NAVRAT</v>
      </c>
      <c r="H1" s="12" t="str">
        <f t="shared" si="0"/>
        <v>NAVRAT</v>
      </c>
      <c r="I1" s="12" t="str">
        <f t="shared" si="0"/>
        <v>NAVRAT</v>
      </c>
      <c r="J1" s="12" t="str">
        <f t="shared" si="0"/>
        <v>NAVRAT</v>
      </c>
      <c r="K1" s="12" t="str">
        <f t="shared" si="0"/>
        <v>NAVRAT</v>
      </c>
      <c r="L1" s="12" t="str">
        <f t="shared" si="0"/>
        <v>NAVRAT</v>
      </c>
    </row>
    <row r="2" spans="1:12" x14ac:dyDescent="0.2">
      <c r="A2" s="5" t="s">
        <v>3</v>
      </c>
      <c r="B2" s="5" t="s">
        <v>32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</row>
    <row r="3" spans="1:12" x14ac:dyDescent="0.2">
      <c r="A3" s="5" t="s">
        <v>0</v>
      </c>
      <c r="B3" s="6">
        <f>SUM(C3:L3)</f>
        <v>13294641.840000002</v>
      </c>
      <c r="C3" s="6">
        <f>'Kalkulacka_OBMENA IKT'!C3+Kalkulacka_PODPORA_Agendy!C3</f>
        <v>13294641.840000002</v>
      </c>
      <c r="D3" s="6">
        <f>'Kalkulacka_OBMENA IKT'!D3+Kalkulacka_PODPORA_Agendy!D3</f>
        <v>0</v>
      </c>
      <c r="E3" s="6">
        <f>'Kalkulacka_OBMENA IKT'!E3+Kalkulacka_PODPORA_Agendy!E3</f>
        <v>0</v>
      </c>
      <c r="F3" s="6">
        <f>'Kalkulacka_OBMENA IKT'!F3+Kalkulacka_PODPORA_Agendy!F3</f>
        <v>0</v>
      </c>
      <c r="G3" s="6">
        <f>'Kalkulacka_OBMENA IKT'!G3+Kalkulacka_PODPORA_Agendy!G3</f>
        <v>0</v>
      </c>
      <c r="H3" s="6">
        <f>'Kalkulacka_OBMENA IKT'!H3+Kalkulacka_PODPORA_Agendy!H3</f>
        <v>0</v>
      </c>
      <c r="I3" s="6">
        <f>'Kalkulacka_OBMENA IKT'!I17+Kalkulacka_PODPORA_Agendy!I3</f>
        <v>0</v>
      </c>
      <c r="J3" s="6">
        <f>'Kalkulacka_OBMENA IKT'!J3+Kalkulacka_PODPORA_Agendy!J3</f>
        <v>0</v>
      </c>
      <c r="K3" s="6">
        <f>'Kalkulacka_OBMENA IKT'!K3+Kalkulacka_PODPORA_Agendy!K3</f>
        <v>0</v>
      </c>
      <c r="L3" s="6">
        <f>'Kalkulacka_OBMENA IKT'!L3+Kalkulacka_PODPORA_Agendy!L3</f>
        <v>0</v>
      </c>
    </row>
    <row r="4" spans="1:12" x14ac:dyDescent="0.2">
      <c r="A4" s="5" t="s">
        <v>27</v>
      </c>
      <c r="B4" s="6"/>
      <c r="C4" s="6">
        <f>'Kalkulacka_OBMENA IKT'!C4+Kalkulacka_PODPORA_Agendy!C4</f>
        <v>9671320.4044799991</v>
      </c>
      <c r="D4" s="6">
        <f>'Kalkulacka_OBMENA IKT'!D4+Kalkulacka_PODPORA_Agendy!D4</f>
        <v>15871081.412294399</v>
      </c>
      <c r="E4" s="6">
        <f>'Kalkulacka_OBMENA IKT'!E4+Kalkulacka_PODPORA_Agendy!E4</f>
        <v>22256835.250343233</v>
      </c>
      <c r="F4" s="6">
        <f>'Kalkulacka_OBMENA IKT'!F4+Kalkulacka_PODPORA_Agendy!F4</f>
        <v>35039164.486343235</v>
      </c>
      <c r="G4" s="6">
        <f>'Kalkulacka_OBMENA IKT'!G4+Kalkulacka_PODPORA_Agendy!G4</f>
        <v>35039164.486343235</v>
      </c>
      <c r="H4" s="6">
        <f>'Kalkulacka_OBMENA IKT'!H4+Kalkulacka_PODPORA_Agendy!H4</f>
        <v>35039164.486343235</v>
      </c>
      <c r="I4" s="6">
        <f>'Kalkulacka_OBMENA IKT'!I4+Kalkulacka_PODPORA_Agendy!I4</f>
        <v>35039164.486343235</v>
      </c>
      <c r="J4" s="6">
        <f>'Kalkulacka_OBMENA IKT'!J4+Kalkulacka_PODPORA_Agendy!J4</f>
        <v>35039164.486343235</v>
      </c>
      <c r="K4" s="6">
        <f>'Kalkulacka_OBMENA IKT'!K4+Kalkulacka_PODPORA_Agendy!K4</f>
        <v>35039164.486343235</v>
      </c>
      <c r="L4" s="6">
        <f>'Kalkulacka_OBMENA IKT'!L4+Kalkulacka_PODPORA_Agendy!L4</f>
        <v>47821493.722343236</v>
      </c>
    </row>
    <row r="5" spans="1:12" x14ac:dyDescent="0.2">
      <c r="A5" s="5" t="s">
        <v>28</v>
      </c>
      <c r="B5" s="6"/>
      <c r="C5" s="6">
        <f>'Kalkulacka_OBMENA IKT'!C5+Kalkulacka_PODPORA_Agendy!C5</f>
        <v>19313827.284480002</v>
      </c>
      <c r="D5" s="6">
        <f>'Kalkulacka_OBMENA IKT'!D5+Kalkulacka_PODPORA_Agendy!D5</f>
        <v>19313827.284480002</v>
      </c>
      <c r="E5" s="6">
        <f>'Kalkulacka_OBMENA IKT'!E5+Kalkulacka_PODPORA_Agendy!E5</f>
        <v>19313827.284480002</v>
      </c>
      <c r="F5" s="6">
        <f>'Kalkulacka_OBMENA IKT'!F5+Kalkulacka_PODPORA_Agendy!F5</f>
        <v>19313827.284480002</v>
      </c>
      <c r="G5" s="6">
        <f>'Kalkulacka_OBMENA IKT'!G5+Kalkulacka_PODPORA_Agendy!G5</f>
        <v>19313827.284480002</v>
      </c>
      <c r="H5" s="6">
        <f>'Kalkulacka_OBMENA IKT'!H5+Kalkulacka_PODPORA_Agendy!H5</f>
        <v>20643291.468480002</v>
      </c>
      <c r="I5" s="6">
        <f>'Kalkulacka_OBMENA IKT'!I5+Kalkulacka_PODPORA_Agendy!I5</f>
        <v>20643291.468480002</v>
      </c>
      <c r="J5" s="6">
        <f>'Kalkulacka_OBMENA IKT'!J5+Kalkulacka_PODPORA_Agendy!J5</f>
        <v>20643291.468480002</v>
      </c>
      <c r="K5" s="6">
        <f>'Kalkulacka_OBMENA IKT'!K5+Kalkulacka_PODPORA_Agendy!K5</f>
        <v>20643291.468480002</v>
      </c>
      <c r="L5" s="6">
        <f>'Kalkulacka_OBMENA IKT'!L5+Kalkulacka_PODPORA_Agendy!L5</f>
        <v>20643291.468480002</v>
      </c>
    </row>
  </sheetData>
  <conditionalFormatting sqref="C1:L1">
    <cfRule type="containsText" dxfId="8" priority="1" operator="containsText" text="navrat">
      <formula>NOT(ISERROR(SEARCH("navrat",C1)))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E820-0E3B-43CA-B12D-6E941ECB374E}">
  <dimension ref="A1:L42"/>
  <sheetViews>
    <sheetView workbookViewId="0">
      <pane ySplit="10" topLeftCell="A11" activePane="bottomLeft" state="frozen"/>
      <selection pane="bottomLeft" activeCell="F26" sqref="F26:L26"/>
    </sheetView>
  </sheetViews>
  <sheetFormatPr baseColWidth="10" defaultColWidth="9" defaultRowHeight="14" x14ac:dyDescent="0.2"/>
  <cols>
    <col min="1" max="1" width="40.796875" bestFit="1" customWidth="1"/>
    <col min="2" max="2" width="14.59765625" bestFit="1" customWidth="1"/>
    <col min="3" max="12" width="11.3984375" customWidth="1"/>
  </cols>
  <sheetData>
    <row r="1" spans="1:12" x14ac:dyDescent="0.2">
      <c r="A1" s="38" t="s">
        <v>18</v>
      </c>
      <c r="B1" s="39"/>
      <c r="C1" s="40" t="str">
        <f>IF(C5&lt;C4,"NAVRAT","")</f>
        <v/>
      </c>
      <c r="D1" s="40" t="str">
        <f t="shared" ref="D1:L1" si="0">IF(D5&lt;D4,"NAVRAT","")</f>
        <v/>
      </c>
      <c r="E1" s="40" t="str">
        <f t="shared" si="0"/>
        <v>NAVRAT</v>
      </c>
      <c r="F1" s="40" t="str">
        <f t="shared" si="0"/>
        <v>NAVRAT</v>
      </c>
      <c r="G1" s="40" t="str">
        <f t="shared" si="0"/>
        <v>NAVRAT</v>
      </c>
      <c r="H1" s="40" t="str">
        <f t="shared" si="0"/>
        <v>NAVRAT</v>
      </c>
      <c r="I1" s="40" t="str">
        <f t="shared" si="0"/>
        <v>NAVRAT</v>
      </c>
      <c r="J1" s="40" t="str">
        <f t="shared" si="0"/>
        <v>NAVRAT</v>
      </c>
      <c r="K1" s="40" t="str">
        <f t="shared" si="0"/>
        <v>NAVRAT</v>
      </c>
      <c r="L1" s="41" t="str">
        <f t="shared" si="0"/>
        <v>NAVRAT</v>
      </c>
    </row>
    <row r="2" spans="1:12" x14ac:dyDescent="0.2">
      <c r="A2" s="42" t="s">
        <v>3</v>
      </c>
      <c r="B2" s="5" t="s">
        <v>32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43">
        <v>10</v>
      </c>
    </row>
    <row r="3" spans="1:12" x14ac:dyDescent="0.2">
      <c r="A3" s="42" t="s">
        <v>0</v>
      </c>
      <c r="B3" s="6">
        <f>SUM(C3:L3)</f>
        <v>26589283.680000003</v>
      </c>
      <c r="C3" s="107">
        <f>Individualne!C15</f>
        <v>13294641.840000002</v>
      </c>
      <c r="D3" s="7"/>
      <c r="E3" s="7"/>
      <c r="F3" s="7"/>
      <c r="G3" s="7"/>
      <c r="H3" s="90"/>
      <c r="I3" s="107">
        <f>Individualne!C15</f>
        <v>13294641.840000002</v>
      </c>
      <c r="J3" s="7"/>
      <c r="K3" s="7"/>
      <c r="L3" s="44"/>
    </row>
    <row r="4" spans="1:12" x14ac:dyDescent="0.2">
      <c r="A4" s="42" t="s">
        <v>27</v>
      </c>
      <c r="B4" s="6"/>
      <c r="C4" s="6">
        <f>C14+C28+C39</f>
        <v>9671320.4044799991</v>
      </c>
      <c r="D4" s="6">
        <f t="shared" ref="D4:L4" si="1">D14+D28+D39</f>
        <v>15871081.412294399</v>
      </c>
      <c r="E4" s="6">
        <f t="shared" si="1"/>
        <v>22256835.250343233</v>
      </c>
      <c r="F4" s="6">
        <f t="shared" si="1"/>
        <v>35039164.486343235</v>
      </c>
      <c r="G4" s="6">
        <f t="shared" si="1"/>
        <v>35039164.486343235</v>
      </c>
      <c r="H4" s="6">
        <f t="shared" si="1"/>
        <v>35039164.486343235</v>
      </c>
      <c r="I4" s="6">
        <f t="shared" si="1"/>
        <v>35039164.486343235</v>
      </c>
      <c r="J4" s="6">
        <f t="shared" si="1"/>
        <v>35039164.486343235</v>
      </c>
      <c r="K4" s="6">
        <f t="shared" si="1"/>
        <v>35039164.486343235</v>
      </c>
      <c r="L4" s="45">
        <f t="shared" si="1"/>
        <v>47821493.722343236</v>
      </c>
    </row>
    <row r="5" spans="1:12" x14ac:dyDescent="0.2">
      <c r="A5" s="62" t="s">
        <v>28</v>
      </c>
      <c r="B5" s="69"/>
      <c r="C5" s="69">
        <f>IF(ISNUMBER(C3),SUM($C$3:C3)+C28+C39,B5+C16)</f>
        <v>19313827.284480002</v>
      </c>
      <c r="D5" s="69">
        <f>IF(ISNUMBER(D3),SUM($C$3:D3)+D28+D39,C5+D16)</f>
        <v>19313827.284480002</v>
      </c>
      <c r="E5" s="69">
        <f>IF(ISNUMBER(E3),SUM($C$3:E3)+E28+E39,D5+E16)</f>
        <v>19313827.284480002</v>
      </c>
      <c r="F5" s="69">
        <f>IF(ISNUMBER(F3),SUM($C$3:F3)+F28+F39,E5+F16)</f>
        <v>19313827.284480002</v>
      </c>
      <c r="G5" s="69">
        <f>IF(ISNUMBER(G3),SUM($C$3:G3)+G28+G39,F5+G16)</f>
        <v>19313827.284480002</v>
      </c>
      <c r="H5" s="69">
        <f>IF(ISNUMBER(H3),SUM($C$3:H3)+H28+H39,G5+H16)</f>
        <v>20643291.468480002</v>
      </c>
      <c r="I5" s="69">
        <f>IF(ISNUMBER(I17),SUM($C$3:I3)+I28+I39,H5+I16)</f>
        <v>20643291.468480002</v>
      </c>
      <c r="J5" s="69">
        <f>IF(ISNUMBER(J3),SUM($C$3:J3)+J28+J39,I5+J16)</f>
        <v>20643291.468480002</v>
      </c>
      <c r="K5" s="69">
        <f>IF(ISNUMBER(K3),SUM($C$3:K3)+K28+K39,J5+K16)</f>
        <v>20643291.468480002</v>
      </c>
      <c r="L5" s="70">
        <f>IF(ISNUMBER(L3),SUM($C$3:L3)+L28+L39,K5+L16)</f>
        <v>20643291.468480002</v>
      </c>
    </row>
    <row r="6" spans="1:12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28" t="s">
        <v>60</v>
      </c>
      <c r="B7" s="129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42" t="s">
        <v>30</v>
      </c>
      <c r="B8" s="71" t="s">
        <v>31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42" t="s">
        <v>2</v>
      </c>
      <c r="B9" s="71" t="s">
        <v>31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x14ac:dyDescent="0.2">
      <c r="A10" s="72" t="s">
        <v>8</v>
      </c>
      <c r="B10" s="73" t="s">
        <v>73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128" t="s">
        <v>14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29"/>
    </row>
    <row r="13" spans="1:12" x14ac:dyDescent="0.2">
      <c r="A13" s="42" t="s">
        <v>17</v>
      </c>
      <c r="B13" s="6">
        <f>SUM(C13:L13)</f>
        <v>29216793.432000004</v>
      </c>
      <c r="C13" s="7">
        <f>(ASIS!D5+ASIS!D2+ASIS!D3+ASIS!D4)*1.2</f>
        <v>3652134.9599999995</v>
      </c>
      <c r="D13" s="7"/>
      <c r="E13" s="7"/>
      <c r="F13" s="7">
        <f>ASIS!D17*1.2</f>
        <v>12782329.236000001</v>
      </c>
      <c r="G13" s="7"/>
      <c r="H13" s="7"/>
      <c r="I13" s="7"/>
      <c r="J13" s="7"/>
      <c r="K13" s="7"/>
      <c r="L13" s="7">
        <f>F13</f>
        <v>12782329.236000001</v>
      </c>
    </row>
    <row r="14" spans="1:12" x14ac:dyDescent="0.2">
      <c r="A14" s="42" t="s">
        <v>19</v>
      </c>
      <c r="B14" s="9" t="s">
        <v>33</v>
      </c>
      <c r="C14" s="6">
        <f>SUM($C$13:C13)</f>
        <v>3652134.9599999995</v>
      </c>
      <c r="D14" s="6">
        <f>SUM($C$13:D13)</f>
        <v>3652134.9599999995</v>
      </c>
      <c r="E14" s="6">
        <f>SUM($C$13:E13)</f>
        <v>3652134.9599999995</v>
      </c>
      <c r="F14" s="6">
        <f>SUM($C$13:F13)</f>
        <v>16434464.196</v>
      </c>
      <c r="G14" s="6">
        <f>SUM($C$13:G13)</f>
        <v>16434464.196</v>
      </c>
      <c r="H14" s="6">
        <f>SUM($C$13:H13)</f>
        <v>16434464.196</v>
      </c>
      <c r="I14" s="6">
        <f>SUM($C$13:I13)</f>
        <v>16434464.196</v>
      </c>
      <c r="J14" s="6">
        <f>SUM($C$13:J13)</f>
        <v>16434464.196</v>
      </c>
      <c r="K14" s="6">
        <f>SUM($C$13:K13)</f>
        <v>16434464.196</v>
      </c>
      <c r="L14" s="45">
        <f>SUM($C$13:L13)</f>
        <v>29216793.432000004</v>
      </c>
    </row>
    <row r="15" spans="1:12" x14ac:dyDescent="0.2">
      <c r="A15" s="42" t="s">
        <v>21</v>
      </c>
      <c r="B15" s="18">
        <v>0</v>
      </c>
      <c r="C15" s="10"/>
      <c r="D15" s="11"/>
      <c r="E15" s="11"/>
      <c r="F15" s="11"/>
      <c r="G15" s="11"/>
      <c r="H15" s="11"/>
      <c r="I15" s="11"/>
      <c r="J15" s="11"/>
      <c r="K15" s="11"/>
      <c r="L15" s="87"/>
    </row>
    <row r="16" spans="1:12" x14ac:dyDescent="0.2">
      <c r="A16" s="42" t="s">
        <v>15</v>
      </c>
      <c r="B16" s="6">
        <f>SUM(C16:L16)</f>
        <v>1329464.1840000004</v>
      </c>
      <c r="C16" s="6">
        <f t="shared" ref="C16:G16" si="2">IF(ISNUMBER(C17),"",$B$15*$B$3)</f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  <c r="H16" s="6">
        <f>IF(ISNUMBER(H17),"",5%*$B$3)</f>
        <v>1329464.1840000004</v>
      </c>
      <c r="I16" s="6">
        <f>IF(ISNUMBER(I17),"",$B$15*$B$3)</f>
        <v>0</v>
      </c>
      <c r="J16" s="6">
        <f t="shared" ref="J16:L16" si="3">IF(ISNUMBER(J17),"",$B$15*$B$3)</f>
        <v>0</v>
      </c>
      <c r="K16" s="6">
        <f t="shared" si="3"/>
        <v>0</v>
      </c>
      <c r="L16" s="6">
        <f t="shared" si="3"/>
        <v>0</v>
      </c>
    </row>
    <row r="17" spans="1:12" x14ac:dyDescent="0.2">
      <c r="A17" s="42" t="s">
        <v>16</v>
      </c>
      <c r="B17" s="6">
        <f>SUM(C17:L17)</f>
        <v>0</v>
      </c>
      <c r="C17" s="7"/>
      <c r="D17" s="7"/>
      <c r="E17" s="7"/>
      <c r="F17" s="7"/>
      <c r="G17" s="7"/>
      <c r="H17" s="7"/>
      <c r="I17" s="7"/>
      <c r="J17" s="7"/>
      <c r="K17" s="7"/>
      <c r="L17" s="44"/>
    </row>
    <row r="18" spans="1:12" x14ac:dyDescent="0.2">
      <c r="A18" s="62" t="s">
        <v>20</v>
      </c>
      <c r="B18" s="66" t="s">
        <v>33</v>
      </c>
      <c r="C18" s="69">
        <f>SUM($C$16:C16)+SUM($C$17:C17)</f>
        <v>0</v>
      </c>
      <c r="D18" s="69">
        <f>SUM($C$16:D16)+SUM($C$17:D17)</f>
        <v>0</v>
      </c>
      <c r="E18" s="69">
        <f>SUM($C$16:E16)+SUM($C$17:E17)</f>
        <v>0</v>
      </c>
      <c r="F18" s="69">
        <f>SUM($C$16:F16)+SUM($C$17:F17)</f>
        <v>0</v>
      </c>
      <c r="G18" s="69">
        <f>SUM($C$16:G16)+SUM($C$17:G17)</f>
        <v>0</v>
      </c>
      <c r="H18" s="69">
        <f>SUM($C$16:H16)+SUM($C$17:H17)</f>
        <v>1329464.1840000004</v>
      </c>
      <c r="I18" s="69">
        <f>SUM($C$16:I16)+SUM($C$17:I17)</f>
        <v>1329464.1840000004</v>
      </c>
      <c r="J18" s="69">
        <f>SUM($C$16:J16)+SUM($C$17:J17)</f>
        <v>1329464.1840000004</v>
      </c>
      <c r="K18" s="69">
        <f>SUM($C$16:K16)+SUM($C$17:K17)</f>
        <v>1329464.1840000004</v>
      </c>
      <c r="L18" s="70">
        <f>SUM($C$16:L16)+SUM($C$17:L17)</f>
        <v>1329464.1840000004</v>
      </c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 x14ac:dyDescent="0.2">
      <c r="A20" s="131" t="s">
        <v>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3"/>
    </row>
    <row r="21" spans="1:12" x14ac:dyDescent="0.2">
      <c r="A21" s="42" t="s">
        <v>22</v>
      </c>
      <c r="B21" s="18">
        <v>0.03</v>
      </c>
      <c r="C21" s="13"/>
      <c r="D21" s="14"/>
      <c r="E21" s="14"/>
      <c r="F21" s="14"/>
      <c r="G21" s="14"/>
      <c r="H21" s="14"/>
      <c r="I21" s="14"/>
      <c r="J21" s="14"/>
      <c r="K21" s="14"/>
      <c r="L21" s="85"/>
    </row>
    <row r="22" spans="1:12" x14ac:dyDescent="0.2">
      <c r="A22" s="42" t="s">
        <v>36</v>
      </c>
      <c r="B22" s="18"/>
      <c r="C22" s="15"/>
      <c r="D22" s="16"/>
      <c r="E22" s="16"/>
      <c r="F22" s="16"/>
      <c r="G22" s="16"/>
      <c r="H22" s="16"/>
      <c r="I22" s="16"/>
      <c r="J22" s="16"/>
      <c r="K22" s="16"/>
      <c r="L22" s="86"/>
    </row>
    <row r="23" spans="1:12" x14ac:dyDescent="0.2">
      <c r="A23" s="42" t="s">
        <v>1</v>
      </c>
      <c r="B23" s="12">
        <f>(IFERROR(ROUND(AVERAGE(C23:L23),1),""))</f>
        <v>6535</v>
      </c>
      <c r="C23" s="17">
        <v>6535</v>
      </c>
      <c r="D23" s="17">
        <v>6535</v>
      </c>
      <c r="E23" s="17">
        <v>6535</v>
      </c>
      <c r="F23" s="17">
        <v>6535</v>
      </c>
      <c r="G23" s="17">
        <v>6535</v>
      </c>
      <c r="H23" s="17">
        <v>6535</v>
      </c>
      <c r="I23" s="17">
        <v>6535</v>
      </c>
      <c r="J23" s="17">
        <v>6535</v>
      </c>
      <c r="K23" s="17">
        <v>6535</v>
      </c>
      <c r="L23" s="17">
        <v>6535</v>
      </c>
    </row>
    <row r="24" spans="1:12" x14ac:dyDescent="0.2">
      <c r="A24" s="42" t="s">
        <v>5</v>
      </c>
      <c r="B24" s="8">
        <f>(IFERROR(ROUND(AVERAGE(C24:L24),2),""))</f>
        <v>0.91</v>
      </c>
      <c r="C24" s="18">
        <v>0.9</v>
      </c>
      <c r="D24" s="18">
        <v>0.9</v>
      </c>
      <c r="E24" s="18">
        <v>0.9</v>
      </c>
      <c r="F24" s="18">
        <v>0.9</v>
      </c>
      <c r="G24" s="18">
        <v>0.9</v>
      </c>
      <c r="H24" s="18">
        <v>0.9</v>
      </c>
      <c r="I24" s="18">
        <v>0.9</v>
      </c>
      <c r="J24" s="18">
        <v>0.9</v>
      </c>
      <c r="K24" s="18">
        <v>0.9</v>
      </c>
      <c r="L24" s="18">
        <v>1</v>
      </c>
    </row>
    <row r="25" spans="1:12" x14ac:dyDescent="0.2">
      <c r="A25" s="42" t="s">
        <v>23</v>
      </c>
      <c r="B25" s="6">
        <f>(IFERROR(ROUND(AVERAGE(C25:L25),1),""))</f>
        <v>2444.1999999999998</v>
      </c>
      <c r="C25" s="7">
        <v>2132.1040000000003</v>
      </c>
      <c r="D25" s="6">
        <f t="shared" ref="D25:L25" si="4">C25*(1+$B$21)</f>
        <v>2196.0671200000002</v>
      </c>
      <c r="E25" s="6">
        <f t="shared" si="4"/>
        <v>2261.9491336000001</v>
      </c>
      <c r="F25" s="6">
        <f t="shared" si="4"/>
        <v>2329.8076076080001</v>
      </c>
      <c r="G25" s="6">
        <f t="shared" si="4"/>
        <v>2399.7018358362402</v>
      </c>
      <c r="H25" s="6">
        <f t="shared" si="4"/>
        <v>2471.6928909113276</v>
      </c>
      <c r="I25" s="6">
        <f t="shared" si="4"/>
        <v>2545.8436776386675</v>
      </c>
      <c r="J25" s="6">
        <f t="shared" si="4"/>
        <v>2622.2189879678276</v>
      </c>
      <c r="K25" s="6">
        <f t="shared" si="4"/>
        <v>2700.8855576068627</v>
      </c>
      <c r="L25" s="45">
        <f t="shared" si="4"/>
        <v>2781.9121243350687</v>
      </c>
    </row>
    <row r="26" spans="1:12" x14ac:dyDescent="0.2">
      <c r="A26" s="42" t="s">
        <v>4</v>
      </c>
      <c r="B26" s="8">
        <f>(IFERROR(ROUND(AVERAGE(C26:L26),2),""))</f>
        <v>0.04</v>
      </c>
      <c r="C26" s="18">
        <v>0.04</v>
      </c>
      <c r="D26" s="8">
        <f t="shared" ref="D26:L26" si="5">C26*(1+$B$22)</f>
        <v>0.04</v>
      </c>
      <c r="E26" s="8">
        <f t="shared" si="5"/>
        <v>0.04</v>
      </c>
      <c r="F26" s="8"/>
      <c r="G26" s="8"/>
      <c r="H26" s="8"/>
      <c r="I26" s="8"/>
      <c r="J26" s="8"/>
      <c r="K26" s="8"/>
      <c r="L26" s="82"/>
    </row>
    <row r="27" spans="1:12" x14ac:dyDescent="0.2">
      <c r="A27" s="42" t="s">
        <v>6</v>
      </c>
      <c r="B27" s="6">
        <f>SUM(C27:L27)</f>
        <v>18604700.290343232</v>
      </c>
      <c r="C27" s="6">
        <f>C23*12*C24*C26*C25</f>
        <v>6019185.4444800001</v>
      </c>
      <c r="D27" s="6">
        <f t="shared" ref="D27:L27" si="6">D23*12*D24*D26*D25</f>
        <v>6199761.0078143999</v>
      </c>
      <c r="E27" s="6">
        <f t="shared" si="6"/>
        <v>6385753.8380488316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45">
        <f t="shared" si="6"/>
        <v>0</v>
      </c>
    </row>
    <row r="28" spans="1:12" x14ac:dyDescent="0.2">
      <c r="A28" s="62" t="s">
        <v>7</v>
      </c>
      <c r="B28" s="84" t="s">
        <v>34</v>
      </c>
      <c r="C28" s="69">
        <f>SUM($C$27:C27)</f>
        <v>6019185.4444800001</v>
      </c>
      <c r="D28" s="69">
        <f>SUM($C$27:D27)</f>
        <v>12218946.4522944</v>
      </c>
      <c r="E28" s="69">
        <f>SUM($C$27:E27)</f>
        <v>18604700.290343232</v>
      </c>
      <c r="F28" s="69">
        <f>SUM($C$27:F27)</f>
        <v>18604700.290343232</v>
      </c>
      <c r="G28" s="69">
        <f>SUM($C$27:G27)</f>
        <v>18604700.290343232</v>
      </c>
      <c r="H28" s="69">
        <f>SUM($C$27:H27)</f>
        <v>18604700.290343232</v>
      </c>
      <c r="I28" s="69">
        <f>SUM($C$27:I27)</f>
        <v>18604700.290343232</v>
      </c>
      <c r="J28" s="69">
        <f>SUM($C$27:J27)</f>
        <v>18604700.290343232</v>
      </c>
      <c r="K28" s="69">
        <f>SUM($C$27:K27)</f>
        <v>18604700.290343232</v>
      </c>
      <c r="L28" s="70">
        <f>SUM($C$27:L27)</f>
        <v>18604700.290343232</v>
      </c>
    </row>
    <row r="29" spans="1:1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x14ac:dyDescent="0.2">
      <c r="A30" s="131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</row>
    <row r="31" spans="1:12" ht="15" x14ac:dyDescent="0.2">
      <c r="A31" s="49" t="s">
        <v>24</v>
      </c>
      <c r="B31" s="25">
        <v>0.05</v>
      </c>
      <c r="C31" s="19"/>
      <c r="D31" s="20"/>
      <c r="E31" s="20"/>
      <c r="F31" s="20"/>
      <c r="G31" s="20"/>
      <c r="H31" s="20"/>
      <c r="I31" s="20"/>
      <c r="J31" s="20"/>
      <c r="K31" s="20"/>
      <c r="L31" s="78"/>
    </row>
    <row r="32" spans="1:12" ht="15" x14ac:dyDescent="0.2">
      <c r="A32" s="49" t="s">
        <v>25</v>
      </c>
      <c r="B32" s="26">
        <v>11.5</v>
      </c>
      <c r="C32" s="21"/>
      <c r="D32" s="22"/>
      <c r="E32" s="22"/>
      <c r="F32" s="22"/>
      <c r="G32" s="22"/>
      <c r="H32" s="22"/>
      <c r="I32" s="22"/>
      <c r="J32" s="22"/>
      <c r="K32" s="22"/>
      <c r="L32" s="79"/>
    </row>
    <row r="33" spans="1:12" ht="15" x14ac:dyDescent="0.2">
      <c r="A33" s="49" t="s">
        <v>26</v>
      </c>
      <c r="B33" s="25">
        <v>0.03</v>
      </c>
      <c r="C33" s="23"/>
      <c r="D33" s="24"/>
      <c r="E33" s="24"/>
      <c r="F33" s="24"/>
      <c r="G33" s="24"/>
      <c r="H33" s="24"/>
      <c r="I33" s="24"/>
      <c r="J33" s="24"/>
      <c r="K33" s="24"/>
      <c r="L33" s="80"/>
    </row>
    <row r="34" spans="1:12" x14ac:dyDescent="0.2">
      <c r="A34" s="42" t="s">
        <v>11</v>
      </c>
      <c r="B34" s="12" t="str">
        <f>(IFERROR(ROUND(AVERAGE(C34:L34),1),""))</f>
        <v/>
      </c>
      <c r="C34" s="17"/>
      <c r="D34" s="17"/>
      <c r="E34" s="17"/>
      <c r="F34" s="17"/>
      <c r="G34" s="17"/>
      <c r="H34" s="17"/>
      <c r="I34" s="17"/>
      <c r="J34" s="17"/>
      <c r="K34" s="17"/>
      <c r="L34" s="81"/>
    </row>
    <row r="35" spans="1:12" x14ac:dyDescent="0.2">
      <c r="A35" s="42" t="s">
        <v>12</v>
      </c>
      <c r="B35" s="27" t="str">
        <f>(IFERROR(ROUND(AVERAGE(C35:L35),1),""))</f>
        <v/>
      </c>
      <c r="C35" s="17"/>
      <c r="D35" s="17"/>
      <c r="E35" s="17"/>
      <c r="F35" s="17"/>
      <c r="G35" s="17"/>
      <c r="H35" s="17"/>
      <c r="I35" s="17"/>
      <c r="J35" s="17"/>
      <c r="K35" s="17"/>
      <c r="L35" s="81"/>
    </row>
    <row r="36" spans="1:12" x14ac:dyDescent="0.2">
      <c r="A36" s="42" t="s">
        <v>9</v>
      </c>
      <c r="B36" s="8">
        <f>(IFERROR(ROUND(AVERAGE(C36:L36),2),""))</f>
        <v>0.1</v>
      </c>
      <c r="C36" s="18">
        <v>0.08</v>
      </c>
      <c r="D36" s="8">
        <f>C36*(1+$B$31)</f>
        <v>8.4000000000000005E-2</v>
      </c>
      <c r="E36" s="8">
        <f t="shared" ref="E36:L36" si="7">D36*(1+$B$31)</f>
        <v>8.8200000000000014E-2</v>
      </c>
      <c r="F36" s="8">
        <f t="shared" si="7"/>
        <v>9.2610000000000026E-2</v>
      </c>
      <c r="G36" s="8">
        <f t="shared" si="7"/>
        <v>9.7240500000000035E-2</v>
      </c>
      <c r="H36" s="8">
        <f t="shared" si="7"/>
        <v>0.10210252500000004</v>
      </c>
      <c r="I36" s="8">
        <f t="shared" si="7"/>
        <v>0.10720765125000005</v>
      </c>
      <c r="J36" s="8">
        <f t="shared" si="7"/>
        <v>0.11256803381250005</v>
      </c>
      <c r="K36" s="8">
        <f t="shared" si="7"/>
        <v>0.11819643550312506</v>
      </c>
      <c r="L36" s="82">
        <f t="shared" si="7"/>
        <v>0.12410625727828131</v>
      </c>
    </row>
    <row r="37" spans="1:12" x14ac:dyDescent="0.2">
      <c r="A37" s="42" t="s">
        <v>35</v>
      </c>
      <c r="B37" s="8">
        <f>(IFERROR(ROUND(AVERAGE(C37:L37),2),""))</f>
        <v>0.5</v>
      </c>
      <c r="C37" s="18">
        <v>0.5</v>
      </c>
      <c r="D37" s="18">
        <v>0.5</v>
      </c>
      <c r="E37" s="18">
        <v>0.5</v>
      </c>
      <c r="F37" s="18">
        <v>0.5</v>
      </c>
      <c r="G37" s="18">
        <v>0.5</v>
      </c>
      <c r="H37" s="18">
        <v>0.5</v>
      </c>
      <c r="I37" s="18">
        <v>0.5</v>
      </c>
      <c r="J37" s="18">
        <v>0.5</v>
      </c>
      <c r="K37" s="18">
        <v>0.5</v>
      </c>
      <c r="L37" s="83">
        <v>0.5</v>
      </c>
    </row>
    <row r="38" spans="1:12" x14ac:dyDescent="0.2">
      <c r="A38" s="42" t="s">
        <v>10</v>
      </c>
      <c r="B38" s="6">
        <f>SUM(C38:L38)</f>
        <v>0</v>
      </c>
      <c r="C38" s="6">
        <f>$B$32/60*C34*C35*C36*C37</f>
        <v>0</v>
      </c>
      <c r="D38" s="6">
        <f t="shared" ref="D38:L38" si="8">$B$32*(1+$B$33)/60*D34*D35*D36*D37</f>
        <v>0</v>
      </c>
      <c r="E38" s="6">
        <f t="shared" si="8"/>
        <v>0</v>
      </c>
      <c r="F38" s="6">
        <f t="shared" si="8"/>
        <v>0</v>
      </c>
      <c r="G38" s="6">
        <f t="shared" si="8"/>
        <v>0</v>
      </c>
      <c r="H38" s="6">
        <f t="shared" si="8"/>
        <v>0</v>
      </c>
      <c r="I38" s="6">
        <f t="shared" si="8"/>
        <v>0</v>
      </c>
      <c r="J38" s="6">
        <f t="shared" si="8"/>
        <v>0</v>
      </c>
      <c r="K38" s="6">
        <f t="shared" si="8"/>
        <v>0</v>
      </c>
      <c r="L38" s="45">
        <f t="shared" si="8"/>
        <v>0</v>
      </c>
    </row>
    <row r="39" spans="1:12" x14ac:dyDescent="0.2">
      <c r="A39" s="62" t="s">
        <v>13</v>
      </c>
      <c r="B39" s="84" t="s">
        <v>33</v>
      </c>
      <c r="C39" s="69">
        <f>SUM($C$38:C38)</f>
        <v>0</v>
      </c>
      <c r="D39" s="69">
        <f>SUM($C$38:D38)</f>
        <v>0</v>
      </c>
      <c r="E39" s="69">
        <f>SUM($C$38:E38)</f>
        <v>0</v>
      </c>
      <c r="F39" s="69">
        <f>SUM($C$38:F38)</f>
        <v>0</v>
      </c>
      <c r="G39" s="69">
        <f>SUM($C$38:G38)</f>
        <v>0</v>
      </c>
      <c r="H39" s="69">
        <f>SUM($C$38:H38)</f>
        <v>0</v>
      </c>
      <c r="I39" s="69">
        <f>SUM($C$38:I38)</f>
        <v>0</v>
      </c>
      <c r="J39" s="69">
        <f>SUM($C$38:J38)</f>
        <v>0</v>
      </c>
      <c r="K39" s="69">
        <f>SUM($C$38:K38)</f>
        <v>0</v>
      </c>
      <c r="L39" s="70">
        <f>SUM($C$38:L38)</f>
        <v>0</v>
      </c>
    </row>
    <row r="41" spans="1:12" x14ac:dyDescent="0.2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">
    <mergeCell ref="A7:B7"/>
    <mergeCell ref="A12:L12"/>
    <mergeCell ref="A20:L20"/>
    <mergeCell ref="A30:L30"/>
  </mergeCells>
  <conditionalFormatting sqref="A12:L18">
    <cfRule type="expression" dxfId="7" priority="5">
      <formula>$B$8="NIE"</formula>
    </cfRule>
  </conditionalFormatting>
  <conditionalFormatting sqref="A20:L28">
    <cfRule type="expression" dxfId="6" priority="4">
      <formula>$B$9="NIE"</formula>
    </cfRule>
  </conditionalFormatting>
  <conditionalFormatting sqref="A30:L39">
    <cfRule type="expression" dxfId="5" priority="3">
      <formula>$B$10="NIE"</formula>
    </cfRule>
  </conditionalFormatting>
  <conditionalFormatting sqref="C1:L1">
    <cfRule type="containsText" dxfId="4" priority="2" operator="containsText" text="navrat">
      <formula>NOT(ISERROR(SEARCH("navrat",C1)))</formula>
    </cfRule>
  </conditionalFormatting>
  <dataValidations disablePrompts="1" count="1">
    <dataValidation type="list" allowBlank="1" showInputMessage="1" showErrorMessage="1" sqref="B8:B10" xr:uid="{4936CD78-C709-4547-9EAC-826444624A9A}">
      <formula1>"ANO,NIE"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854A-E371-4FF9-BC04-CBE1FF54B3A6}">
  <dimension ref="A1:L46"/>
  <sheetViews>
    <sheetView workbookViewId="0">
      <pane ySplit="10" topLeftCell="A11" activePane="bottomLeft" state="frozen"/>
      <selection pane="bottomLeft" activeCell="C13" sqref="C13:L14"/>
    </sheetView>
  </sheetViews>
  <sheetFormatPr baseColWidth="10" defaultColWidth="9" defaultRowHeight="14" x14ac:dyDescent="0.2"/>
  <cols>
    <col min="1" max="1" width="40.796875" bestFit="1" customWidth="1"/>
    <col min="2" max="2" width="14.59765625" bestFit="1" customWidth="1"/>
    <col min="3" max="12" width="11.3984375" customWidth="1"/>
  </cols>
  <sheetData>
    <row r="1" spans="1:12" x14ac:dyDescent="0.2">
      <c r="A1" s="38" t="s">
        <v>18</v>
      </c>
      <c r="B1" s="39"/>
      <c r="C1" s="40" t="str">
        <f>IF(C5&lt;C4,"NAVRAT","")</f>
        <v/>
      </c>
      <c r="D1" s="40" t="str">
        <f t="shared" ref="D1:L1" si="0">IF(D5&lt;D4,"NAVRAT","")</f>
        <v/>
      </c>
      <c r="E1" s="40" t="str">
        <f t="shared" si="0"/>
        <v/>
      </c>
      <c r="F1" s="40" t="str">
        <f t="shared" si="0"/>
        <v/>
      </c>
      <c r="G1" s="40" t="str">
        <f t="shared" si="0"/>
        <v/>
      </c>
      <c r="H1" s="40" t="str">
        <f t="shared" si="0"/>
        <v/>
      </c>
      <c r="I1" s="40" t="str">
        <f t="shared" si="0"/>
        <v/>
      </c>
      <c r="J1" s="40" t="str">
        <f t="shared" si="0"/>
        <v/>
      </c>
      <c r="K1" s="40" t="str">
        <f t="shared" si="0"/>
        <v/>
      </c>
      <c r="L1" s="41" t="str">
        <f t="shared" si="0"/>
        <v/>
      </c>
    </row>
    <row r="2" spans="1:12" x14ac:dyDescent="0.2">
      <c r="A2" s="42" t="s">
        <v>3</v>
      </c>
      <c r="B2" s="5" t="s">
        <v>32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43">
        <v>10</v>
      </c>
    </row>
    <row r="3" spans="1:12" x14ac:dyDescent="0.2">
      <c r="A3" s="42" t="s">
        <v>0</v>
      </c>
      <c r="B3" s="6">
        <f>SUM(C3:L3)</f>
        <v>0</v>
      </c>
      <c r="C3" s="7"/>
      <c r="D3" s="7"/>
      <c r="E3" s="7"/>
      <c r="F3" s="7"/>
      <c r="G3" s="7"/>
      <c r="H3" s="7"/>
      <c r="I3" s="7"/>
      <c r="J3" s="7"/>
      <c r="K3" s="7"/>
      <c r="L3" s="44"/>
    </row>
    <row r="4" spans="1:12" x14ac:dyDescent="0.2">
      <c r="A4" s="42" t="s">
        <v>50</v>
      </c>
      <c r="B4" s="6"/>
      <c r="C4" s="6">
        <f t="shared" ref="C4:L4" si="1">C26+C39+C45</f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45">
        <f t="shared" si="1"/>
        <v>0</v>
      </c>
    </row>
    <row r="5" spans="1:12" x14ac:dyDescent="0.2">
      <c r="A5" s="62" t="s">
        <v>51</v>
      </c>
      <c r="B5" s="69"/>
      <c r="C5" s="69">
        <f>C27+C40+C46+SUM($C$3:C3)</f>
        <v>0</v>
      </c>
      <c r="D5" s="69">
        <f>D27+D40+D46+SUM($C$3:D3)</f>
        <v>0</v>
      </c>
      <c r="E5" s="69">
        <f>E27+E40+E46+SUM($C$3:E3)</f>
        <v>0</v>
      </c>
      <c r="F5" s="69">
        <f>F27+F40+F46+SUM($C$3:F3)</f>
        <v>0</v>
      </c>
      <c r="G5" s="69">
        <f>G27+G40+G46+SUM($C$3:G3)</f>
        <v>0</v>
      </c>
      <c r="H5" s="69">
        <f>H27+H40+H46+SUM($C$3:H3)</f>
        <v>0</v>
      </c>
      <c r="I5" s="69">
        <f>I27+I40+I46+SUM($C$3:I3)</f>
        <v>0</v>
      </c>
      <c r="J5" s="69">
        <f>J27+J40+J46+SUM($C$3:J3)</f>
        <v>0</v>
      </c>
      <c r="K5" s="69">
        <f>K27+K40+K46+SUM($C$3:K3)</f>
        <v>0</v>
      </c>
      <c r="L5" s="70">
        <f>L27+L40+L46+SUM($C$3:L3)</f>
        <v>0</v>
      </c>
    </row>
    <row r="6" spans="1:12" x14ac:dyDescent="0.2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x14ac:dyDescent="0.2">
      <c r="A7" s="128" t="s">
        <v>29</v>
      </c>
      <c r="B7" s="129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x14ac:dyDescent="0.2">
      <c r="A8" s="42" t="s">
        <v>37</v>
      </c>
      <c r="B8" s="71" t="s">
        <v>73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x14ac:dyDescent="0.2">
      <c r="A9" s="42" t="s">
        <v>38</v>
      </c>
      <c r="B9" s="71" t="s">
        <v>73</v>
      </c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15" x14ac:dyDescent="0.2">
      <c r="A10" s="72" t="s">
        <v>39</v>
      </c>
      <c r="B10" s="73" t="s">
        <v>73</v>
      </c>
      <c r="C10" s="47"/>
      <c r="D10" s="47"/>
      <c r="E10" s="47"/>
      <c r="F10" s="47"/>
      <c r="G10" s="47"/>
      <c r="H10" s="47"/>
      <c r="I10" s="47"/>
      <c r="J10" s="47"/>
      <c r="K10" s="47"/>
      <c r="L10" s="48"/>
    </row>
    <row r="11" spans="1:12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</row>
    <row r="12" spans="1:12" x14ac:dyDescent="0.2">
      <c r="A12" s="128" t="s">
        <v>40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29"/>
    </row>
    <row r="13" spans="1:12" ht="15" x14ac:dyDescent="0.2">
      <c r="A13" s="50" t="s">
        <v>41</v>
      </c>
      <c r="B13" s="27">
        <f>SUM(C13:L13)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51"/>
    </row>
    <row r="14" spans="1:12" ht="15" x14ac:dyDescent="0.2">
      <c r="A14" s="74" t="s">
        <v>42</v>
      </c>
      <c r="B14" s="75">
        <f>SUM(C14:L14)</f>
        <v>0</v>
      </c>
      <c r="C14" s="76"/>
      <c r="D14" s="76"/>
      <c r="E14" s="76"/>
      <c r="F14" s="76"/>
      <c r="G14" s="76"/>
      <c r="H14" s="76"/>
      <c r="I14" s="76"/>
      <c r="J14" s="76"/>
      <c r="K14" s="76"/>
      <c r="L14" s="77"/>
    </row>
    <row r="15" spans="1:12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x14ac:dyDescent="0.2">
      <c r="A16" s="128" t="s">
        <v>37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29"/>
    </row>
    <row r="17" spans="1:12" x14ac:dyDescent="0.2">
      <c r="A17" s="52" t="s">
        <v>48</v>
      </c>
      <c r="B17" s="30">
        <v>22.5</v>
      </c>
      <c r="C17" s="34">
        <f>B17</f>
        <v>22.5</v>
      </c>
      <c r="D17" s="34">
        <f>C17*(1+$B$18)</f>
        <v>23.625</v>
      </c>
      <c r="E17" s="34">
        <f t="shared" ref="E17:L17" si="2">D17*(1+$B$18)</f>
        <v>24.806250000000002</v>
      </c>
      <c r="F17" s="34">
        <f t="shared" si="2"/>
        <v>26.046562500000004</v>
      </c>
      <c r="G17" s="34">
        <f t="shared" si="2"/>
        <v>27.348890625000006</v>
      </c>
      <c r="H17" s="34">
        <f t="shared" si="2"/>
        <v>28.716335156250008</v>
      </c>
      <c r="I17" s="34">
        <f t="shared" si="2"/>
        <v>30.152151914062511</v>
      </c>
      <c r="J17" s="34">
        <f t="shared" si="2"/>
        <v>31.659759509765639</v>
      </c>
      <c r="K17" s="34">
        <f t="shared" si="2"/>
        <v>33.242747485253922</v>
      </c>
      <c r="L17" s="53">
        <f t="shared" si="2"/>
        <v>34.904884859516621</v>
      </c>
    </row>
    <row r="18" spans="1:12" x14ac:dyDescent="0.2">
      <c r="A18" s="42" t="s">
        <v>43</v>
      </c>
      <c r="B18" s="31">
        <v>0.05</v>
      </c>
      <c r="C18" s="28"/>
      <c r="D18" s="28"/>
      <c r="E18" s="28"/>
      <c r="F18" s="28"/>
      <c r="G18" s="28"/>
      <c r="H18" s="28"/>
      <c r="I18" s="28"/>
      <c r="J18" s="28"/>
      <c r="K18" s="28"/>
      <c r="L18" s="54"/>
    </row>
    <row r="19" spans="1:12" x14ac:dyDescent="0.2">
      <c r="A19" s="42" t="s">
        <v>49</v>
      </c>
      <c r="B19" s="31">
        <v>2.5000000000000001E-2</v>
      </c>
      <c r="C19" s="28"/>
      <c r="D19" s="28"/>
      <c r="E19" s="28"/>
      <c r="F19" s="28"/>
      <c r="G19" s="28"/>
      <c r="H19" s="28"/>
      <c r="I19" s="28"/>
      <c r="J19" s="28"/>
      <c r="K19" s="28"/>
      <c r="L19" s="54"/>
    </row>
    <row r="20" spans="1:12" x14ac:dyDescent="0.2">
      <c r="A20" s="42" t="s">
        <v>44</v>
      </c>
      <c r="B20" s="9" t="s">
        <v>33</v>
      </c>
      <c r="C20" s="29">
        <v>5</v>
      </c>
      <c r="D20" s="29">
        <v>5</v>
      </c>
      <c r="E20" s="29">
        <v>5</v>
      </c>
      <c r="F20" s="29">
        <v>5</v>
      </c>
      <c r="G20" s="29">
        <v>5</v>
      </c>
      <c r="H20" s="29">
        <v>5</v>
      </c>
      <c r="I20" s="29">
        <v>5</v>
      </c>
      <c r="J20" s="29">
        <v>5</v>
      </c>
      <c r="K20" s="29">
        <v>5</v>
      </c>
      <c r="L20" s="51">
        <v>5</v>
      </c>
    </row>
    <row r="21" spans="1:12" x14ac:dyDescent="0.2">
      <c r="A21" s="42" t="s">
        <v>59</v>
      </c>
      <c r="B21" s="9" t="s">
        <v>33</v>
      </c>
      <c r="C21" s="29">
        <v>1.5</v>
      </c>
      <c r="D21" s="29">
        <v>1.5</v>
      </c>
      <c r="E21" s="29">
        <v>1.5</v>
      </c>
      <c r="F21" s="29">
        <v>1.5</v>
      </c>
      <c r="G21" s="29">
        <v>1.5</v>
      </c>
      <c r="H21" s="29">
        <v>1.5</v>
      </c>
      <c r="I21" s="29">
        <v>1.5</v>
      </c>
      <c r="J21" s="29">
        <v>1.5</v>
      </c>
      <c r="K21" s="29">
        <v>1.5</v>
      </c>
      <c r="L21" s="51">
        <v>1.5</v>
      </c>
    </row>
    <row r="22" spans="1:12" x14ac:dyDescent="0.2">
      <c r="A22" s="42" t="s">
        <v>45</v>
      </c>
      <c r="B22" s="9" t="s">
        <v>33</v>
      </c>
      <c r="C22" s="32">
        <v>2.5</v>
      </c>
      <c r="D22" s="33">
        <f>C22*(1+$B$19)</f>
        <v>2.5625</v>
      </c>
      <c r="E22" s="33">
        <f>D22*(1+$B$19)</f>
        <v>2.6265624999999999</v>
      </c>
      <c r="F22" s="33">
        <f t="shared" ref="F22:L22" si="3">E22*(1+$B$19)</f>
        <v>2.6922265624999997</v>
      </c>
      <c r="G22" s="33">
        <f t="shared" si="3"/>
        <v>2.7595322265624995</v>
      </c>
      <c r="H22" s="33">
        <f t="shared" si="3"/>
        <v>2.8285205322265616</v>
      </c>
      <c r="I22" s="33">
        <f t="shared" si="3"/>
        <v>2.8992335455322253</v>
      </c>
      <c r="J22" s="33">
        <f t="shared" si="3"/>
        <v>2.9717143841705309</v>
      </c>
      <c r="K22" s="33">
        <f t="shared" si="3"/>
        <v>3.046007243774794</v>
      </c>
      <c r="L22" s="55">
        <f t="shared" si="3"/>
        <v>3.1221574248691635</v>
      </c>
    </row>
    <row r="23" spans="1:12" x14ac:dyDescent="0.2">
      <c r="A23" s="42" t="s">
        <v>58</v>
      </c>
      <c r="B23" s="9" t="s">
        <v>33</v>
      </c>
      <c r="C23" s="32">
        <v>1.25</v>
      </c>
      <c r="D23" s="33">
        <f t="shared" ref="D23:L23" si="4">C23*(1+$B$19)</f>
        <v>1.28125</v>
      </c>
      <c r="E23" s="33">
        <f t="shared" si="4"/>
        <v>1.31328125</v>
      </c>
      <c r="F23" s="33">
        <f t="shared" si="4"/>
        <v>1.3461132812499998</v>
      </c>
      <c r="G23" s="33">
        <f t="shared" si="4"/>
        <v>1.3797661132812498</v>
      </c>
      <c r="H23" s="33">
        <f t="shared" si="4"/>
        <v>1.4142602661132808</v>
      </c>
      <c r="I23" s="33">
        <f t="shared" si="4"/>
        <v>1.4496167727661127</v>
      </c>
      <c r="J23" s="33">
        <f t="shared" si="4"/>
        <v>1.4858571920852655</v>
      </c>
      <c r="K23" s="33">
        <f t="shared" si="4"/>
        <v>1.523003621887397</v>
      </c>
      <c r="L23" s="55">
        <f t="shared" si="4"/>
        <v>1.5610787124345817</v>
      </c>
    </row>
    <row r="24" spans="1:12" x14ac:dyDescent="0.2">
      <c r="A24" s="42" t="s">
        <v>46</v>
      </c>
      <c r="B24" s="9">
        <f>SUM(C24:L24)</f>
        <v>0</v>
      </c>
      <c r="C24" s="6">
        <f>C13*C20*C17+C13*C22</f>
        <v>0</v>
      </c>
      <c r="D24" s="6">
        <f t="shared" ref="D24:L24" si="5">D13*D20*D17+D13*D22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45">
        <f t="shared" si="5"/>
        <v>0</v>
      </c>
    </row>
    <row r="25" spans="1:12" x14ac:dyDescent="0.2">
      <c r="A25" s="42" t="s">
        <v>47</v>
      </c>
      <c r="B25" s="9">
        <f>SUM(C25:L25)</f>
        <v>0</v>
      </c>
      <c r="C25" s="6">
        <f>C14*C17*C21+C14*C23</f>
        <v>0</v>
      </c>
      <c r="D25" s="6">
        <f t="shared" ref="D25:L25" si="6">D14*D17*D21+D14*D23</f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45">
        <f t="shared" si="6"/>
        <v>0</v>
      </c>
    </row>
    <row r="26" spans="1:12" x14ac:dyDescent="0.2">
      <c r="A26" s="56" t="s">
        <v>50</v>
      </c>
      <c r="B26" s="9" t="s">
        <v>33</v>
      </c>
      <c r="C26" s="57">
        <f>SUM($C$24:C24)</f>
        <v>0</v>
      </c>
      <c r="D26" s="57">
        <f>SUM($C$24:D24)</f>
        <v>0</v>
      </c>
      <c r="E26" s="57">
        <f>SUM($C$24:E24)</f>
        <v>0</v>
      </c>
      <c r="F26" s="57">
        <f>SUM($C$24:F24)</f>
        <v>0</v>
      </c>
      <c r="G26" s="57">
        <f>SUM($C$24:G24)</f>
        <v>0</v>
      </c>
      <c r="H26" s="57">
        <f>SUM($C$24:H24)</f>
        <v>0</v>
      </c>
      <c r="I26" s="57">
        <f>SUM($C$24:I24)</f>
        <v>0</v>
      </c>
      <c r="J26" s="57">
        <f>SUM($C$24:J24)</f>
        <v>0</v>
      </c>
      <c r="K26" s="57">
        <f>SUM($C$24:K24)</f>
        <v>0</v>
      </c>
      <c r="L26" s="58">
        <f>SUM($C$24:L24)</f>
        <v>0</v>
      </c>
    </row>
    <row r="27" spans="1:12" x14ac:dyDescent="0.2">
      <c r="A27" s="65" t="s">
        <v>51</v>
      </c>
      <c r="B27" s="66" t="s">
        <v>33</v>
      </c>
      <c r="C27" s="67">
        <f>SUM($C$25:C25)</f>
        <v>0</v>
      </c>
      <c r="D27" s="67">
        <f>SUM($C$25:D25)</f>
        <v>0</v>
      </c>
      <c r="E27" s="67">
        <f>SUM($C$25:E25)</f>
        <v>0</v>
      </c>
      <c r="F27" s="67">
        <f>SUM($C$25:F25)</f>
        <v>0</v>
      </c>
      <c r="G27" s="67">
        <f>SUM($C$25:G25)</f>
        <v>0</v>
      </c>
      <c r="H27" s="67">
        <f>SUM($C$25:H25)</f>
        <v>0</v>
      </c>
      <c r="I27" s="67">
        <f>SUM($C$25:I25)</f>
        <v>0</v>
      </c>
      <c r="J27" s="67">
        <f>SUM($C$25:J25)</f>
        <v>0</v>
      </c>
      <c r="K27" s="67">
        <f>SUM($C$25:K25)</f>
        <v>0</v>
      </c>
      <c r="L27" s="68">
        <f>SUM($C$25:L25)</f>
        <v>0</v>
      </c>
    </row>
    <row r="28" spans="1:12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</row>
    <row r="29" spans="1:12" x14ac:dyDescent="0.2">
      <c r="A29" s="128" t="s">
        <v>52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29"/>
    </row>
    <row r="30" spans="1:12" x14ac:dyDescent="0.2">
      <c r="A30" s="52" t="s">
        <v>48</v>
      </c>
      <c r="B30" s="30">
        <v>15</v>
      </c>
      <c r="C30" s="34">
        <f>B30</f>
        <v>15</v>
      </c>
      <c r="D30" s="34">
        <f>C30*(1+$B$18)</f>
        <v>15.75</v>
      </c>
      <c r="E30" s="34">
        <f t="shared" ref="E30:L30" si="7">D30*(1+$B$18)</f>
        <v>16.537500000000001</v>
      </c>
      <c r="F30" s="34">
        <f t="shared" si="7"/>
        <v>17.364375000000003</v>
      </c>
      <c r="G30" s="34">
        <f t="shared" si="7"/>
        <v>18.232593750000003</v>
      </c>
      <c r="H30" s="34">
        <f t="shared" si="7"/>
        <v>19.144223437500003</v>
      </c>
      <c r="I30" s="34">
        <f t="shared" si="7"/>
        <v>20.101434609375005</v>
      </c>
      <c r="J30" s="34">
        <f t="shared" si="7"/>
        <v>21.106506339843754</v>
      </c>
      <c r="K30" s="34">
        <f t="shared" si="7"/>
        <v>22.161831656835943</v>
      </c>
      <c r="L30" s="53">
        <f t="shared" si="7"/>
        <v>23.269923239677741</v>
      </c>
    </row>
    <row r="31" spans="1:12" x14ac:dyDescent="0.2">
      <c r="A31" s="42" t="s">
        <v>43</v>
      </c>
      <c r="B31" s="31">
        <v>0.04</v>
      </c>
      <c r="C31" s="28"/>
      <c r="D31" s="28"/>
      <c r="E31" s="28"/>
      <c r="F31" s="28"/>
      <c r="G31" s="28"/>
      <c r="H31" s="28"/>
      <c r="I31" s="28"/>
      <c r="J31" s="28"/>
      <c r="K31" s="28"/>
      <c r="L31" s="54"/>
    </row>
    <row r="32" spans="1:12" x14ac:dyDescent="0.2">
      <c r="A32" s="42" t="s">
        <v>49</v>
      </c>
      <c r="B32" s="31">
        <v>2.5000000000000001E-2</v>
      </c>
      <c r="C32" s="28"/>
      <c r="D32" s="28"/>
      <c r="E32" s="28"/>
      <c r="F32" s="28"/>
      <c r="G32" s="28"/>
      <c r="H32" s="28"/>
      <c r="I32" s="28"/>
      <c r="J32" s="28"/>
      <c r="K32" s="28"/>
      <c r="L32" s="54"/>
    </row>
    <row r="33" spans="1:12" x14ac:dyDescent="0.2">
      <c r="A33" s="42" t="s">
        <v>53</v>
      </c>
      <c r="B33" s="9" t="s">
        <v>33</v>
      </c>
      <c r="C33" s="29">
        <v>6.5</v>
      </c>
      <c r="D33" s="29">
        <v>6.5</v>
      </c>
      <c r="E33" s="29">
        <v>6.5</v>
      </c>
      <c r="F33" s="29">
        <v>6.5</v>
      </c>
      <c r="G33" s="29">
        <v>6.5</v>
      </c>
      <c r="H33" s="29">
        <v>6.5</v>
      </c>
      <c r="I33" s="29">
        <v>6.5</v>
      </c>
      <c r="J33" s="29">
        <v>6.5</v>
      </c>
      <c r="K33" s="29">
        <v>6.5</v>
      </c>
      <c r="L33" s="51">
        <v>6.5</v>
      </c>
    </row>
    <row r="34" spans="1:12" x14ac:dyDescent="0.2">
      <c r="A34" s="42" t="s">
        <v>54</v>
      </c>
      <c r="B34" s="9" t="s">
        <v>33</v>
      </c>
      <c r="C34" s="29">
        <v>3.5</v>
      </c>
      <c r="D34" s="29">
        <v>3.5</v>
      </c>
      <c r="E34" s="29">
        <v>3.5</v>
      </c>
      <c r="F34" s="29">
        <v>3.5</v>
      </c>
      <c r="G34" s="29">
        <v>3.5</v>
      </c>
      <c r="H34" s="29">
        <v>3.5</v>
      </c>
      <c r="I34" s="29">
        <v>3.5</v>
      </c>
      <c r="J34" s="29">
        <v>3.5</v>
      </c>
      <c r="K34" s="29">
        <v>3.5</v>
      </c>
      <c r="L34" s="51">
        <v>3.5</v>
      </c>
    </row>
    <row r="35" spans="1:12" x14ac:dyDescent="0.2">
      <c r="A35" s="42" t="s">
        <v>45</v>
      </c>
      <c r="B35" s="9" t="s">
        <v>33</v>
      </c>
      <c r="C35" s="32">
        <v>4.5</v>
      </c>
      <c r="D35" s="33">
        <f>C35*(1+$B$19)</f>
        <v>4.6124999999999998</v>
      </c>
      <c r="E35" s="33">
        <f>D35*(1+$B$19)</f>
        <v>4.7278124999999998</v>
      </c>
      <c r="F35" s="33">
        <f t="shared" ref="F35:L35" si="8">E35*(1+$B$19)</f>
        <v>4.846007812499999</v>
      </c>
      <c r="G35" s="33">
        <f t="shared" si="8"/>
        <v>4.9671580078124986</v>
      </c>
      <c r="H35" s="33">
        <f t="shared" si="8"/>
        <v>5.0913369580078109</v>
      </c>
      <c r="I35" s="33">
        <f t="shared" si="8"/>
        <v>5.2186203819580061</v>
      </c>
      <c r="J35" s="33">
        <f t="shared" si="8"/>
        <v>5.3490858915069559</v>
      </c>
      <c r="K35" s="33">
        <f t="shared" si="8"/>
        <v>5.482813038794629</v>
      </c>
      <c r="L35" s="55">
        <f t="shared" si="8"/>
        <v>5.6198833647644939</v>
      </c>
    </row>
    <row r="36" spans="1:12" x14ac:dyDescent="0.2">
      <c r="A36" s="42" t="s">
        <v>45</v>
      </c>
      <c r="B36" s="9" t="s">
        <v>33</v>
      </c>
      <c r="C36" s="32">
        <v>2.5</v>
      </c>
      <c r="D36" s="33">
        <f t="shared" ref="D36:L36" si="9">C36*(1+$B$19)</f>
        <v>2.5625</v>
      </c>
      <c r="E36" s="33">
        <f t="shared" si="9"/>
        <v>2.6265624999999999</v>
      </c>
      <c r="F36" s="33">
        <f t="shared" si="9"/>
        <v>2.6922265624999997</v>
      </c>
      <c r="G36" s="33">
        <f t="shared" si="9"/>
        <v>2.7595322265624995</v>
      </c>
      <c r="H36" s="33">
        <f t="shared" si="9"/>
        <v>2.8285205322265616</v>
      </c>
      <c r="I36" s="33">
        <f t="shared" si="9"/>
        <v>2.8992335455322253</v>
      </c>
      <c r="J36" s="33">
        <f t="shared" si="9"/>
        <v>2.9717143841705309</v>
      </c>
      <c r="K36" s="33">
        <f t="shared" si="9"/>
        <v>3.046007243774794</v>
      </c>
      <c r="L36" s="55">
        <f t="shared" si="9"/>
        <v>3.1221574248691635</v>
      </c>
    </row>
    <row r="37" spans="1:12" x14ac:dyDescent="0.2">
      <c r="A37" s="42" t="s">
        <v>46</v>
      </c>
      <c r="B37" s="9">
        <f>SUM(C37:L37)</f>
        <v>0</v>
      </c>
      <c r="C37" s="6">
        <f t="shared" ref="C37:L37" si="10">C13*C33*C30+C13*C35</f>
        <v>0</v>
      </c>
      <c r="D37" s="6">
        <f t="shared" si="10"/>
        <v>0</v>
      </c>
      <c r="E37" s="6">
        <f t="shared" si="10"/>
        <v>0</v>
      </c>
      <c r="F37" s="6">
        <f t="shared" si="10"/>
        <v>0</v>
      </c>
      <c r="G37" s="6">
        <f t="shared" si="10"/>
        <v>0</v>
      </c>
      <c r="H37" s="6">
        <f t="shared" si="10"/>
        <v>0</v>
      </c>
      <c r="I37" s="6">
        <f t="shared" si="10"/>
        <v>0</v>
      </c>
      <c r="J37" s="6">
        <f t="shared" si="10"/>
        <v>0</v>
      </c>
      <c r="K37" s="6">
        <f t="shared" si="10"/>
        <v>0</v>
      </c>
      <c r="L37" s="45">
        <f t="shared" si="10"/>
        <v>0</v>
      </c>
    </row>
    <row r="38" spans="1:12" x14ac:dyDescent="0.2">
      <c r="A38" s="42" t="s">
        <v>47</v>
      </c>
      <c r="B38" s="9">
        <f>SUM(C38:L38)</f>
        <v>0</v>
      </c>
      <c r="C38" s="6">
        <f>C14*C30*C34+C14*C36</f>
        <v>0</v>
      </c>
      <c r="D38" s="6">
        <f t="shared" ref="D38:L38" si="11">D14*D30*D34+D14*D36</f>
        <v>0</v>
      </c>
      <c r="E38" s="6">
        <f t="shared" si="11"/>
        <v>0</v>
      </c>
      <c r="F38" s="6">
        <f t="shared" si="11"/>
        <v>0</v>
      </c>
      <c r="G38" s="6">
        <f t="shared" si="11"/>
        <v>0</v>
      </c>
      <c r="H38" s="6">
        <f t="shared" si="11"/>
        <v>0</v>
      </c>
      <c r="I38" s="6">
        <f t="shared" si="11"/>
        <v>0</v>
      </c>
      <c r="J38" s="6">
        <f t="shared" si="11"/>
        <v>0</v>
      </c>
      <c r="K38" s="6">
        <f t="shared" si="11"/>
        <v>0</v>
      </c>
      <c r="L38" s="45">
        <f t="shared" si="11"/>
        <v>0</v>
      </c>
    </row>
    <row r="39" spans="1:12" x14ac:dyDescent="0.2">
      <c r="A39" s="56" t="s">
        <v>50</v>
      </c>
      <c r="B39" s="9" t="s">
        <v>33</v>
      </c>
      <c r="C39" s="57">
        <f>SUM($C$37:C37)</f>
        <v>0</v>
      </c>
      <c r="D39" s="57">
        <f>SUM($C$37:D37)</f>
        <v>0</v>
      </c>
      <c r="E39" s="57">
        <f>SUM($C$37:E37)</f>
        <v>0</v>
      </c>
      <c r="F39" s="57">
        <f>SUM($C$37:F37)</f>
        <v>0</v>
      </c>
      <c r="G39" s="57">
        <f>SUM($C$37:G37)</f>
        <v>0</v>
      </c>
      <c r="H39" s="57">
        <f>SUM($C$37:H37)</f>
        <v>0</v>
      </c>
      <c r="I39" s="57">
        <f>SUM($C$37:I37)</f>
        <v>0</v>
      </c>
      <c r="J39" s="57">
        <f>SUM($C$37:J37)</f>
        <v>0</v>
      </c>
      <c r="K39" s="57">
        <f>SUM($C$37:K37)</f>
        <v>0</v>
      </c>
      <c r="L39" s="58">
        <f>SUM($C$37:L37)</f>
        <v>0</v>
      </c>
    </row>
    <row r="40" spans="1:12" x14ac:dyDescent="0.2">
      <c r="A40" s="65" t="s">
        <v>51</v>
      </c>
      <c r="B40" s="66" t="s">
        <v>33</v>
      </c>
      <c r="C40" s="67">
        <f>SUM($C$38:C38)</f>
        <v>0</v>
      </c>
      <c r="D40" s="67">
        <f>SUM($C$38:D38)</f>
        <v>0</v>
      </c>
      <c r="E40" s="67">
        <f>SUM($C$38:E38)</f>
        <v>0</v>
      </c>
      <c r="F40" s="67">
        <f>SUM($C$38:F38)</f>
        <v>0</v>
      </c>
      <c r="G40" s="67">
        <f>SUM($C$38:G38)</f>
        <v>0</v>
      </c>
      <c r="H40" s="67">
        <f>SUM($C$38:H38)</f>
        <v>0</v>
      </c>
      <c r="I40" s="67">
        <f>SUM($C$38:I38)</f>
        <v>0</v>
      </c>
      <c r="J40" s="67">
        <f>SUM($C$38:J38)</f>
        <v>0</v>
      </c>
      <c r="K40" s="67">
        <f>SUM($C$38:K38)</f>
        <v>0</v>
      </c>
      <c r="L40" s="68">
        <f>SUM($C$38:L38)</f>
        <v>0</v>
      </c>
    </row>
    <row r="41" spans="1:12" x14ac:dyDescent="0.2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x14ac:dyDescent="0.2">
      <c r="A42" s="128" t="s">
        <v>55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29"/>
    </row>
    <row r="43" spans="1:12" x14ac:dyDescent="0.2">
      <c r="A43" s="52" t="s">
        <v>56</v>
      </c>
      <c r="B43" s="35">
        <f>SUM(C43:L43)</f>
        <v>0</v>
      </c>
      <c r="C43" s="36"/>
      <c r="D43" s="36"/>
      <c r="E43" s="36"/>
      <c r="F43" s="36"/>
      <c r="G43" s="36"/>
      <c r="H43" s="36"/>
      <c r="I43" s="36"/>
      <c r="J43" s="36"/>
      <c r="K43" s="36"/>
      <c r="L43" s="59"/>
    </row>
    <row r="44" spans="1:12" x14ac:dyDescent="0.2">
      <c r="A44" s="42" t="s">
        <v>57</v>
      </c>
      <c r="B44" s="35">
        <f>SUM(C44:L44)</f>
        <v>0</v>
      </c>
      <c r="C44" s="37"/>
      <c r="D44" s="37"/>
      <c r="E44" s="37"/>
      <c r="F44" s="37"/>
      <c r="G44" s="37"/>
      <c r="H44" s="37"/>
      <c r="I44" s="37"/>
      <c r="J44" s="37"/>
      <c r="K44" s="37"/>
      <c r="L44" s="60"/>
    </row>
    <row r="45" spans="1:12" x14ac:dyDescent="0.2">
      <c r="A45" s="42" t="s">
        <v>50</v>
      </c>
      <c r="B45" s="35" t="s">
        <v>33</v>
      </c>
      <c r="C45" s="35">
        <f>SUM($C$43:C43)</f>
        <v>0</v>
      </c>
      <c r="D45" s="35">
        <f>SUM($C$43:D43)</f>
        <v>0</v>
      </c>
      <c r="E45" s="35">
        <f>SUM($C$43:E43)</f>
        <v>0</v>
      </c>
      <c r="F45" s="35">
        <f>SUM($C$43:F43)</f>
        <v>0</v>
      </c>
      <c r="G45" s="35">
        <f>SUM($C$43:G43)</f>
        <v>0</v>
      </c>
      <c r="H45" s="35">
        <f>SUM($C$43:H43)</f>
        <v>0</v>
      </c>
      <c r="I45" s="35">
        <f>SUM($C$43:I43)</f>
        <v>0</v>
      </c>
      <c r="J45" s="35">
        <f>SUM($C$43:J43)</f>
        <v>0</v>
      </c>
      <c r="K45" s="35">
        <f>SUM($C$43:K43)</f>
        <v>0</v>
      </c>
      <c r="L45" s="61">
        <f>SUM($C$43:L43)</f>
        <v>0</v>
      </c>
    </row>
    <row r="46" spans="1:12" x14ac:dyDescent="0.2">
      <c r="A46" s="62" t="s">
        <v>51</v>
      </c>
      <c r="B46" s="63" t="s">
        <v>33</v>
      </c>
      <c r="C46" s="63">
        <f>SUM($C$44:C44)</f>
        <v>0</v>
      </c>
      <c r="D46" s="63">
        <f>SUM($C$44:D44)</f>
        <v>0</v>
      </c>
      <c r="E46" s="63">
        <f>SUM($C$44:E44)</f>
        <v>0</v>
      </c>
      <c r="F46" s="63">
        <f>SUM($C$44:F44)</f>
        <v>0</v>
      </c>
      <c r="G46" s="63">
        <f>SUM($C$44:G44)</f>
        <v>0</v>
      </c>
      <c r="H46" s="63">
        <f>SUM($C$44:H44)</f>
        <v>0</v>
      </c>
      <c r="I46" s="63">
        <f>SUM($C$44:I44)</f>
        <v>0</v>
      </c>
      <c r="J46" s="63">
        <f>SUM($C$44:J44)</f>
        <v>0</v>
      </c>
      <c r="K46" s="63">
        <f>SUM($C$44:K44)</f>
        <v>0</v>
      </c>
      <c r="L46" s="64">
        <f>SUM($C$44:L44)</f>
        <v>0</v>
      </c>
    </row>
  </sheetData>
  <mergeCells count="5">
    <mergeCell ref="A7:B7"/>
    <mergeCell ref="A16:L16"/>
    <mergeCell ref="A12:L12"/>
    <mergeCell ref="A29:L29"/>
    <mergeCell ref="A42:L42"/>
  </mergeCells>
  <conditionalFormatting sqref="C1:L1">
    <cfRule type="containsText" dxfId="3" priority="15" operator="containsText" text="navrat">
      <formula>NOT(ISERROR(SEARCH("navrat",C1)))</formula>
    </cfRule>
  </conditionalFormatting>
  <conditionalFormatting sqref="A16:L27">
    <cfRule type="expression" dxfId="2" priority="3">
      <formula>$B$8="NIE"</formula>
    </cfRule>
  </conditionalFormatting>
  <conditionalFormatting sqref="A29:L40">
    <cfRule type="expression" dxfId="1" priority="2">
      <formula>$B$9="nie"</formula>
    </cfRule>
  </conditionalFormatting>
  <conditionalFormatting sqref="A42:L46">
    <cfRule type="expression" dxfId="0" priority="1">
      <formula>$B$10="nie"</formula>
    </cfRule>
  </conditionalFormatting>
  <dataValidations count="1">
    <dataValidation type="list" allowBlank="1" showInputMessage="1" showErrorMessage="1" sqref="B8:B10" xr:uid="{DF6A2204-D03F-4BCE-90CA-044DB5D488B2}">
      <formula1>"ANO,NIE"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1F36-2A26-BE43-A01C-614BD183E44D}">
  <dimension ref="A2:F54"/>
  <sheetViews>
    <sheetView workbookViewId="0">
      <selection activeCell="D13" sqref="D13"/>
    </sheetView>
  </sheetViews>
  <sheetFormatPr baseColWidth="10" defaultColWidth="10.59765625" defaultRowHeight="15" x14ac:dyDescent="0.2"/>
  <cols>
    <col min="1" max="1" width="80.3984375" style="92" customWidth="1"/>
    <col min="2" max="2" width="24.3984375" style="93" bestFit="1" customWidth="1"/>
    <col min="3" max="3" width="23.3984375" style="93" bestFit="1" customWidth="1"/>
    <col min="4" max="4" width="10.59765625" style="92"/>
    <col min="5" max="5" width="14.19921875" style="92" bestFit="1" customWidth="1"/>
    <col min="6" max="16384" width="10.59765625" style="92"/>
  </cols>
  <sheetData>
    <row r="2" spans="1:6" ht="24" x14ac:dyDescent="0.3">
      <c r="A2" s="134" t="s">
        <v>100</v>
      </c>
      <c r="B2" s="134"/>
      <c r="C2" s="134"/>
    </row>
    <row r="3" spans="1:6" ht="16" thickBot="1" x14ac:dyDescent="0.25"/>
    <row r="4" spans="1:6" ht="20" thickBot="1" x14ac:dyDescent="0.3">
      <c r="A4" s="94" t="s">
        <v>86</v>
      </c>
      <c r="B4" s="95" t="s">
        <v>68</v>
      </c>
      <c r="C4" s="96" t="s">
        <v>87</v>
      </c>
      <c r="E4" s="92" t="s">
        <v>107</v>
      </c>
    </row>
    <row r="5" spans="1:6" ht="16" thickBot="1" x14ac:dyDescent="0.25">
      <c r="A5" s="97" t="s">
        <v>66</v>
      </c>
      <c r="B5" s="98">
        <f>(B31+B44)/2</f>
        <v>4539901.5</v>
      </c>
      <c r="C5" s="99">
        <f>B5*1.2</f>
        <v>5447881.7999999998</v>
      </c>
      <c r="E5" s="100">
        <f>B5/F5</f>
        <v>784.5</v>
      </c>
      <c r="F5" s="125">
        <v>5787</v>
      </c>
    </row>
    <row r="6" spans="1:6" ht="16" thickBot="1" x14ac:dyDescent="0.25">
      <c r="A6" s="97" t="s">
        <v>88</v>
      </c>
      <c r="B6" s="98">
        <f t="shared" ref="B6:B14" si="0">(B32+B45)/2</f>
        <v>162036</v>
      </c>
      <c r="C6" s="99">
        <f t="shared" ref="C6:C14" si="1">B6*1.2</f>
        <v>194443.19999999998</v>
      </c>
      <c r="E6" s="100">
        <f t="shared" ref="E6:E14" si="2">B6/F6</f>
        <v>28</v>
      </c>
      <c r="F6" s="125">
        <v>5787</v>
      </c>
    </row>
    <row r="7" spans="1:6" ht="16" thickBot="1" x14ac:dyDescent="0.25">
      <c r="A7" s="97" t="s">
        <v>89</v>
      </c>
      <c r="B7" s="98">
        <f t="shared" si="0"/>
        <v>43402.5</v>
      </c>
      <c r="C7" s="99">
        <f t="shared" si="1"/>
        <v>52083</v>
      </c>
      <c r="E7" s="100">
        <f t="shared" si="2"/>
        <v>7.5</v>
      </c>
      <c r="F7" s="125">
        <v>5787</v>
      </c>
    </row>
    <row r="8" spans="1:6" ht="16" thickBot="1" x14ac:dyDescent="0.25">
      <c r="A8" s="97" t="s">
        <v>65</v>
      </c>
      <c r="B8" s="98">
        <f t="shared" si="0"/>
        <v>1342584</v>
      </c>
      <c r="C8" s="99">
        <f t="shared" si="1"/>
        <v>1611100.8</v>
      </c>
      <c r="E8" s="100">
        <f t="shared" si="2"/>
        <v>232</v>
      </c>
      <c r="F8" s="125">
        <v>5787</v>
      </c>
    </row>
    <row r="9" spans="1:6" ht="16" thickBot="1" x14ac:dyDescent="0.25">
      <c r="A9" s="97" t="s">
        <v>64</v>
      </c>
      <c r="B9" s="98">
        <f t="shared" si="0"/>
        <v>1205950</v>
      </c>
      <c r="C9" s="99">
        <f t="shared" si="1"/>
        <v>1447140</v>
      </c>
      <c r="E9" s="100">
        <f t="shared" si="2"/>
        <v>890</v>
      </c>
      <c r="F9" s="126">
        <v>1355</v>
      </c>
    </row>
    <row r="10" spans="1:6" ht="16" thickBot="1" x14ac:dyDescent="0.25">
      <c r="A10" s="97" t="s">
        <v>63</v>
      </c>
      <c r="B10" s="98">
        <f t="shared" si="0"/>
        <v>2783547</v>
      </c>
      <c r="C10" s="99">
        <f t="shared" si="1"/>
        <v>3340256.4</v>
      </c>
      <c r="E10" s="100">
        <f t="shared" si="2"/>
        <v>481</v>
      </c>
      <c r="F10" s="125">
        <v>5787</v>
      </c>
    </row>
    <row r="11" spans="1:6" ht="16" thickBot="1" x14ac:dyDescent="0.25">
      <c r="A11" s="97" t="s">
        <v>62</v>
      </c>
      <c r="B11" s="98">
        <f t="shared" si="0"/>
        <v>423029.7</v>
      </c>
      <c r="C11" s="99">
        <f t="shared" si="1"/>
        <v>507635.64</v>
      </c>
      <c r="E11" s="100">
        <f t="shared" si="2"/>
        <v>73.100000000000009</v>
      </c>
      <c r="F11" s="125">
        <v>5787</v>
      </c>
    </row>
    <row r="12" spans="1:6" ht="16" thickBot="1" x14ac:dyDescent="0.25">
      <c r="A12" s="97" t="s">
        <v>90</v>
      </c>
      <c r="B12" s="98">
        <f t="shared" si="0"/>
        <v>72337.5</v>
      </c>
      <c r="C12" s="99">
        <f t="shared" si="1"/>
        <v>86805</v>
      </c>
      <c r="E12" s="100">
        <f t="shared" si="2"/>
        <v>12.5</v>
      </c>
      <c r="F12" s="125">
        <v>5787</v>
      </c>
    </row>
    <row r="13" spans="1:6" ht="16" thickBot="1" x14ac:dyDescent="0.25">
      <c r="A13" s="97" t="s">
        <v>91</v>
      </c>
      <c r="B13" s="98">
        <f t="shared" si="0"/>
        <v>448492.5</v>
      </c>
      <c r="C13" s="99">
        <f t="shared" si="1"/>
        <v>538191</v>
      </c>
      <c r="E13" s="100">
        <f t="shared" si="2"/>
        <v>77.5</v>
      </c>
      <c r="F13" s="125">
        <v>5787</v>
      </c>
    </row>
    <row r="14" spans="1:6" ht="16" thickBot="1" x14ac:dyDescent="0.25">
      <c r="A14" s="97" t="s">
        <v>92</v>
      </c>
      <c r="B14" s="98">
        <f t="shared" si="0"/>
        <v>57587.5</v>
      </c>
      <c r="C14" s="99">
        <f t="shared" si="1"/>
        <v>69105</v>
      </c>
      <c r="E14" s="100">
        <f t="shared" si="2"/>
        <v>42.5</v>
      </c>
      <c r="F14" s="126">
        <v>1355</v>
      </c>
    </row>
    <row r="15" spans="1:6" ht="16" thickBot="1" x14ac:dyDescent="0.25">
      <c r="A15" s="101" t="s">
        <v>93</v>
      </c>
      <c r="B15" s="102">
        <f>SUM(B5:B14)</f>
        <v>11078868.199999999</v>
      </c>
      <c r="C15" s="103">
        <f>SUM(C5:C14)</f>
        <v>13294641.840000002</v>
      </c>
      <c r="F15" s="127"/>
    </row>
    <row r="17" spans="1:6" ht="20" hidden="1" thickBot="1" x14ac:dyDescent="0.3">
      <c r="A17" s="104" t="s">
        <v>94</v>
      </c>
      <c r="B17" s="93" t="s">
        <v>68</v>
      </c>
      <c r="C17" s="93" t="s">
        <v>87</v>
      </c>
    </row>
    <row r="18" spans="1:6" ht="16" hidden="1" thickBot="1" x14ac:dyDescent="0.25">
      <c r="A18" s="92" t="s">
        <v>66</v>
      </c>
      <c r="B18" s="93">
        <f>E18*F18</f>
        <v>6365700</v>
      </c>
      <c r="C18" s="93">
        <f t="shared" ref="C18:C28" si="3">B18*1.2</f>
        <v>7638840</v>
      </c>
      <c r="E18" s="100">
        <v>1100</v>
      </c>
      <c r="F18" s="125">
        <v>5787</v>
      </c>
    </row>
    <row r="19" spans="1:6" ht="16" hidden="1" thickBot="1" x14ac:dyDescent="0.25">
      <c r="A19" s="92" t="s">
        <v>88</v>
      </c>
      <c r="B19" s="93">
        <f t="shared" ref="B19:B27" si="4">E19*F19</f>
        <v>57870</v>
      </c>
      <c r="C19" s="93">
        <f t="shared" si="3"/>
        <v>69444</v>
      </c>
      <c r="E19" s="100">
        <v>10</v>
      </c>
      <c r="F19" s="125">
        <v>5787</v>
      </c>
    </row>
    <row r="20" spans="1:6" ht="16" hidden="1" thickBot="1" x14ac:dyDescent="0.25">
      <c r="A20" s="92" t="s">
        <v>89</v>
      </c>
      <c r="B20" s="93">
        <f t="shared" si="4"/>
        <v>57870</v>
      </c>
      <c r="C20" s="93">
        <f t="shared" si="3"/>
        <v>69444</v>
      </c>
      <c r="E20" s="100">
        <v>10</v>
      </c>
      <c r="F20" s="125">
        <v>5787</v>
      </c>
    </row>
    <row r="21" spans="1:6" ht="16" hidden="1" thickBot="1" x14ac:dyDescent="0.25">
      <c r="A21" s="92" t="s">
        <v>65</v>
      </c>
      <c r="B21" s="93">
        <f t="shared" si="4"/>
        <v>1168974</v>
      </c>
      <c r="C21" s="93">
        <f t="shared" si="3"/>
        <v>1402768.8</v>
      </c>
      <c r="E21" s="100">
        <v>202</v>
      </c>
      <c r="F21" s="125">
        <v>5787</v>
      </c>
    </row>
    <row r="22" spans="1:6" ht="16" hidden="1" thickBot="1" x14ac:dyDescent="0.25">
      <c r="A22" s="92" t="s">
        <v>64</v>
      </c>
      <c r="B22" s="93">
        <f t="shared" si="4"/>
        <v>1135490</v>
      </c>
      <c r="C22" s="93">
        <f t="shared" si="3"/>
        <v>1362588</v>
      </c>
      <c r="E22" s="100">
        <v>838</v>
      </c>
      <c r="F22" s="126">
        <v>1355</v>
      </c>
    </row>
    <row r="23" spans="1:6" ht="16" hidden="1" thickBot="1" x14ac:dyDescent="0.25">
      <c r="A23" s="92" t="s">
        <v>63</v>
      </c>
      <c r="B23" s="93">
        <f t="shared" si="4"/>
        <v>2789334</v>
      </c>
      <c r="C23" s="93">
        <f t="shared" si="3"/>
        <v>3347200.8</v>
      </c>
      <c r="E23" s="100">
        <v>482</v>
      </c>
      <c r="F23" s="125">
        <v>5787</v>
      </c>
    </row>
    <row r="24" spans="1:6" ht="16" hidden="1" thickBot="1" x14ac:dyDescent="0.25">
      <c r="A24" s="92" t="s">
        <v>62</v>
      </c>
      <c r="B24" s="93">
        <f t="shared" si="4"/>
        <v>1036451.7</v>
      </c>
      <c r="C24" s="93">
        <f t="shared" si="3"/>
        <v>1243742.0399999998</v>
      </c>
      <c r="E24" s="100">
        <v>179.1</v>
      </c>
      <c r="F24" s="125">
        <v>5787</v>
      </c>
    </row>
    <row r="25" spans="1:6" ht="16" hidden="1" thickBot="1" x14ac:dyDescent="0.25">
      <c r="A25" s="92" t="s">
        <v>90</v>
      </c>
      <c r="B25" s="93">
        <f t="shared" si="4"/>
        <v>231480</v>
      </c>
      <c r="C25" s="93">
        <f t="shared" si="3"/>
        <v>277776</v>
      </c>
      <c r="E25" s="100">
        <v>40</v>
      </c>
      <c r="F25" s="125">
        <v>5787</v>
      </c>
    </row>
    <row r="26" spans="1:6" ht="16" hidden="1" thickBot="1" x14ac:dyDescent="0.25">
      <c r="A26" s="92" t="s">
        <v>91</v>
      </c>
      <c r="B26" s="93">
        <f t="shared" si="4"/>
        <v>2835630</v>
      </c>
      <c r="C26" s="93">
        <f t="shared" si="3"/>
        <v>3402756</v>
      </c>
      <c r="E26" s="100">
        <v>490</v>
      </c>
      <c r="F26" s="125">
        <v>5787</v>
      </c>
    </row>
    <row r="27" spans="1:6" ht="16" hidden="1" thickBot="1" x14ac:dyDescent="0.25">
      <c r="A27" s="92" t="s">
        <v>92</v>
      </c>
      <c r="B27" s="93">
        <f t="shared" si="4"/>
        <v>108400</v>
      </c>
      <c r="C27" s="93">
        <f t="shared" si="3"/>
        <v>130080</v>
      </c>
      <c r="E27" s="100">
        <v>80</v>
      </c>
      <c r="F27" s="126">
        <v>1355</v>
      </c>
    </row>
    <row r="28" spans="1:6" hidden="1" x14ac:dyDescent="0.2">
      <c r="A28" s="105" t="s">
        <v>95</v>
      </c>
      <c r="B28" s="106">
        <f>SUM(B18:B27)</f>
        <v>15787199.699999999</v>
      </c>
      <c r="C28" s="106">
        <f t="shared" si="3"/>
        <v>18944639.639999997</v>
      </c>
    </row>
    <row r="30" spans="1:6" ht="20" thickBot="1" x14ac:dyDescent="0.3">
      <c r="A30" s="104" t="s">
        <v>96</v>
      </c>
      <c r="B30" s="93" t="s">
        <v>68</v>
      </c>
      <c r="C30" s="93" t="s">
        <v>87</v>
      </c>
    </row>
    <row r="31" spans="1:6" ht="16" thickBot="1" x14ac:dyDescent="0.25">
      <c r="A31" s="92" t="s">
        <v>66</v>
      </c>
      <c r="B31" s="93">
        <f>E31*F31</f>
        <v>5150430</v>
      </c>
      <c r="C31" s="93">
        <f>B31*1.2</f>
        <v>6180516</v>
      </c>
      <c r="E31" s="100">
        <v>890</v>
      </c>
      <c r="F31" s="125">
        <v>5787</v>
      </c>
    </row>
    <row r="32" spans="1:6" ht="16" thickBot="1" x14ac:dyDescent="0.25">
      <c r="A32" s="92" t="s">
        <v>88</v>
      </c>
      <c r="B32" s="93">
        <f t="shared" ref="B32:B40" si="5">E32*F32</f>
        <v>86805</v>
      </c>
      <c r="C32" s="93">
        <f t="shared" ref="C32:C41" si="6">B32*1.2</f>
        <v>104166</v>
      </c>
      <c r="E32" s="100">
        <v>15</v>
      </c>
      <c r="F32" s="125">
        <v>5787</v>
      </c>
    </row>
    <row r="33" spans="1:6" ht="16" thickBot="1" x14ac:dyDescent="0.25">
      <c r="A33" s="92" t="s">
        <v>89</v>
      </c>
      <c r="B33" s="93">
        <f t="shared" si="5"/>
        <v>86805</v>
      </c>
      <c r="C33" s="93">
        <f t="shared" si="6"/>
        <v>104166</v>
      </c>
      <c r="E33" s="100">
        <v>15</v>
      </c>
      <c r="F33" s="125">
        <v>5787</v>
      </c>
    </row>
    <row r="34" spans="1:6" ht="16" thickBot="1" x14ac:dyDescent="0.25">
      <c r="A34" s="92" t="s">
        <v>65</v>
      </c>
      <c r="B34" s="93">
        <f t="shared" si="5"/>
        <v>1846053</v>
      </c>
      <c r="C34" s="93">
        <f t="shared" si="6"/>
        <v>2215263.6</v>
      </c>
      <c r="E34" s="100">
        <v>319</v>
      </c>
      <c r="F34" s="125">
        <v>5787</v>
      </c>
    </row>
    <row r="35" spans="1:6" ht="16" thickBot="1" x14ac:dyDescent="0.25">
      <c r="A35" s="92" t="s">
        <v>64</v>
      </c>
      <c r="B35" s="93">
        <f t="shared" si="5"/>
        <v>1002700</v>
      </c>
      <c r="C35" s="93">
        <f t="shared" si="6"/>
        <v>1203240</v>
      </c>
      <c r="E35" s="100">
        <v>740</v>
      </c>
      <c r="F35" s="126">
        <v>1355</v>
      </c>
    </row>
    <row r="36" spans="1:6" ht="16" thickBot="1" x14ac:dyDescent="0.25">
      <c r="A36" s="92" t="s">
        <v>63</v>
      </c>
      <c r="B36" s="93">
        <f t="shared" si="5"/>
        <v>2789334</v>
      </c>
      <c r="C36" s="93">
        <f t="shared" si="6"/>
        <v>3347200.8</v>
      </c>
      <c r="E36" s="100">
        <v>482</v>
      </c>
      <c r="F36" s="125">
        <v>5787</v>
      </c>
    </row>
    <row r="37" spans="1:6" ht="16" thickBot="1" x14ac:dyDescent="0.25">
      <c r="A37" s="92" t="s">
        <v>62</v>
      </c>
      <c r="B37" s="93">
        <f t="shared" si="5"/>
        <v>434025</v>
      </c>
      <c r="C37" s="93">
        <f t="shared" si="6"/>
        <v>520830</v>
      </c>
      <c r="E37" s="100">
        <v>75</v>
      </c>
      <c r="F37" s="125">
        <v>5787</v>
      </c>
    </row>
    <row r="38" spans="1:6" ht="16" thickBot="1" x14ac:dyDescent="0.25">
      <c r="A38" s="92" t="s">
        <v>90</v>
      </c>
      <c r="B38" s="93">
        <f t="shared" si="5"/>
        <v>57870</v>
      </c>
      <c r="C38" s="93">
        <f t="shared" si="6"/>
        <v>69444</v>
      </c>
      <c r="E38" s="100">
        <v>10</v>
      </c>
      <c r="F38" s="125">
        <v>5787</v>
      </c>
    </row>
    <row r="39" spans="1:6" ht="16" thickBot="1" x14ac:dyDescent="0.25">
      <c r="A39" s="92" t="s">
        <v>91</v>
      </c>
      <c r="B39" s="93">
        <f t="shared" si="5"/>
        <v>694440</v>
      </c>
      <c r="C39" s="93">
        <f t="shared" si="6"/>
        <v>833328</v>
      </c>
      <c r="E39" s="100">
        <v>120</v>
      </c>
      <c r="F39" s="125">
        <v>5787</v>
      </c>
    </row>
    <row r="40" spans="1:6" ht="16" thickBot="1" x14ac:dyDescent="0.25">
      <c r="A40" s="92" t="s">
        <v>92</v>
      </c>
      <c r="B40" s="93">
        <f t="shared" si="5"/>
        <v>81300</v>
      </c>
      <c r="C40" s="93">
        <f t="shared" si="6"/>
        <v>97560</v>
      </c>
      <c r="E40" s="100">
        <v>60</v>
      </c>
      <c r="F40" s="126">
        <v>1355</v>
      </c>
    </row>
    <row r="41" spans="1:6" x14ac:dyDescent="0.2">
      <c r="A41" s="105" t="s">
        <v>97</v>
      </c>
      <c r="B41" s="106">
        <f>SUM(B31:B40)</f>
        <v>12229762</v>
      </c>
      <c r="C41" s="106">
        <f t="shared" si="6"/>
        <v>14675714.4</v>
      </c>
    </row>
    <row r="43" spans="1:6" ht="20" thickBot="1" x14ac:dyDescent="0.3">
      <c r="A43" s="104" t="s">
        <v>98</v>
      </c>
      <c r="B43" s="93" t="s">
        <v>68</v>
      </c>
      <c r="C43" s="93" t="s">
        <v>87</v>
      </c>
    </row>
    <row r="44" spans="1:6" ht="16" thickBot="1" x14ac:dyDescent="0.25">
      <c r="A44" s="92" t="s">
        <v>66</v>
      </c>
      <c r="B44" s="93">
        <f>E44*F44</f>
        <v>3929373</v>
      </c>
      <c r="C44" s="93">
        <f t="shared" ref="C44:C54" si="7">B44*1.2</f>
        <v>4715247.5999999996</v>
      </c>
      <c r="E44" s="100">
        <v>679</v>
      </c>
      <c r="F44" s="125">
        <v>5787</v>
      </c>
    </row>
    <row r="45" spans="1:6" ht="16" thickBot="1" x14ac:dyDescent="0.25">
      <c r="A45" s="92" t="s">
        <v>88</v>
      </c>
      <c r="B45" s="93">
        <f t="shared" ref="B45:B53" si="8">E45*F45</f>
        <v>237267</v>
      </c>
      <c r="C45" s="93">
        <f t="shared" si="7"/>
        <v>284720.39999999997</v>
      </c>
      <c r="E45" s="100">
        <v>41</v>
      </c>
      <c r="F45" s="125">
        <v>5787</v>
      </c>
    </row>
    <row r="46" spans="1:6" ht="16" thickBot="1" x14ac:dyDescent="0.25">
      <c r="A46" s="92" t="s">
        <v>89</v>
      </c>
      <c r="B46" s="93">
        <f t="shared" si="8"/>
        <v>0</v>
      </c>
      <c r="C46" s="93">
        <f t="shared" si="7"/>
        <v>0</v>
      </c>
      <c r="E46" s="100">
        <v>0</v>
      </c>
      <c r="F46" s="125">
        <v>5787</v>
      </c>
    </row>
    <row r="47" spans="1:6" ht="16" thickBot="1" x14ac:dyDescent="0.25">
      <c r="A47" s="92" t="s">
        <v>65</v>
      </c>
      <c r="B47" s="93">
        <f t="shared" si="8"/>
        <v>839115</v>
      </c>
      <c r="C47" s="93">
        <f t="shared" si="7"/>
        <v>1006938</v>
      </c>
      <c r="E47" s="100">
        <v>145</v>
      </c>
      <c r="F47" s="125">
        <v>5787</v>
      </c>
    </row>
    <row r="48" spans="1:6" ht="16" thickBot="1" x14ac:dyDescent="0.25">
      <c r="A48" s="92" t="s">
        <v>64</v>
      </c>
      <c r="B48" s="93">
        <f t="shared" si="8"/>
        <v>1409200</v>
      </c>
      <c r="C48" s="93">
        <f t="shared" si="7"/>
        <v>1691040</v>
      </c>
      <c r="E48" s="100">
        <v>1040</v>
      </c>
      <c r="F48" s="126">
        <v>1355</v>
      </c>
    </row>
    <row r="49" spans="1:6" ht="16" thickBot="1" x14ac:dyDescent="0.25">
      <c r="A49" s="92" t="s">
        <v>63</v>
      </c>
      <c r="B49" s="93">
        <f t="shared" si="8"/>
        <v>2777760</v>
      </c>
      <c r="C49" s="93">
        <f t="shared" si="7"/>
        <v>3333312</v>
      </c>
      <c r="E49" s="100">
        <v>480</v>
      </c>
      <c r="F49" s="125">
        <v>5787</v>
      </c>
    </row>
    <row r="50" spans="1:6" ht="16" thickBot="1" x14ac:dyDescent="0.25">
      <c r="A50" s="92" t="s">
        <v>62</v>
      </c>
      <c r="B50" s="93">
        <f t="shared" si="8"/>
        <v>412034.4</v>
      </c>
      <c r="C50" s="93">
        <f t="shared" si="7"/>
        <v>494441.28</v>
      </c>
      <c r="E50" s="100">
        <v>71.2</v>
      </c>
      <c r="F50" s="125">
        <v>5787</v>
      </c>
    </row>
    <row r="51" spans="1:6" ht="16" thickBot="1" x14ac:dyDescent="0.25">
      <c r="A51" s="92" t="s">
        <v>90</v>
      </c>
      <c r="B51" s="93">
        <f t="shared" si="8"/>
        <v>86805</v>
      </c>
      <c r="C51" s="93">
        <f t="shared" si="7"/>
        <v>104166</v>
      </c>
      <c r="E51" s="100">
        <v>15</v>
      </c>
      <c r="F51" s="125">
        <v>5787</v>
      </c>
    </row>
    <row r="52" spans="1:6" ht="16" thickBot="1" x14ac:dyDescent="0.25">
      <c r="A52" s="92" t="s">
        <v>91</v>
      </c>
      <c r="B52" s="93">
        <f t="shared" si="8"/>
        <v>202545</v>
      </c>
      <c r="C52" s="93">
        <f t="shared" si="7"/>
        <v>243054</v>
      </c>
      <c r="E52" s="100">
        <v>35</v>
      </c>
      <c r="F52" s="125">
        <v>5787</v>
      </c>
    </row>
    <row r="53" spans="1:6" ht="16" thickBot="1" x14ac:dyDescent="0.25">
      <c r="A53" s="92" t="s">
        <v>92</v>
      </c>
      <c r="B53" s="93">
        <f t="shared" si="8"/>
        <v>33875</v>
      </c>
      <c r="C53" s="93">
        <f t="shared" si="7"/>
        <v>40650</v>
      </c>
      <c r="E53" s="100">
        <v>25</v>
      </c>
      <c r="F53" s="126">
        <v>1355</v>
      </c>
    </row>
    <row r="54" spans="1:6" x14ac:dyDescent="0.2">
      <c r="A54" s="105" t="s">
        <v>99</v>
      </c>
      <c r="B54" s="106">
        <f>SUM(B44:B53)</f>
        <v>9927974.4000000004</v>
      </c>
      <c r="C54" s="106">
        <f t="shared" si="7"/>
        <v>11913569.279999999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A6C5F-1CA5-D646-8FCE-5DAECC6AF003}">
  <dimension ref="A1:G37"/>
  <sheetViews>
    <sheetView topLeftCell="A24" workbookViewId="0">
      <selection activeCell="D5" sqref="D5"/>
    </sheetView>
  </sheetViews>
  <sheetFormatPr baseColWidth="10" defaultRowHeight="14" x14ac:dyDescent="0.2"/>
  <cols>
    <col min="1" max="1" width="34.19921875" bestFit="1" customWidth="1"/>
    <col min="2" max="2" width="13" customWidth="1"/>
    <col min="3" max="3" width="12" bestFit="1" customWidth="1"/>
    <col min="4" max="4" width="32.59765625" bestFit="1" customWidth="1"/>
    <col min="5" max="5" width="77" customWidth="1"/>
    <col min="6" max="6" width="56.3984375" customWidth="1"/>
  </cols>
  <sheetData>
    <row r="1" spans="1:7" ht="32" x14ac:dyDescent="0.2">
      <c r="A1" s="108" t="s">
        <v>101</v>
      </c>
      <c r="B1" s="109" t="s">
        <v>67</v>
      </c>
      <c r="C1" s="110" t="s">
        <v>61</v>
      </c>
      <c r="D1" s="110" t="s">
        <v>108</v>
      </c>
      <c r="E1" s="110" t="s">
        <v>102</v>
      </c>
      <c r="F1" s="108" t="s">
        <v>103</v>
      </c>
    </row>
    <row r="2" spans="1:7" ht="15" x14ac:dyDescent="0.2">
      <c r="A2" s="111" t="s">
        <v>69</v>
      </c>
      <c r="B2" s="112">
        <f>'Rozpocet Ziadost'!C13+'Rozpocet Ziadost'!C14+'Rozpocet Ziadost'!C15</f>
        <v>125</v>
      </c>
      <c r="C2" s="113">
        <v>5787</v>
      </c>
      <c r="D2" s="135">
        <f>B2*C2</f>
        <v>723375</v>
      </c>
      <c r="E2" s="113" t="s">
        <v>104</v>
      </c>
      <c r="F2" s="114" t="s">
        <v>109</v>
      </c>
    </row>
    <row r="3" spans="1:7" ht="105" x14ac:dyDescent="0.2">
      <c r="A3" s="111" t="s">
        <v>70</v>
      </c>
      <c r="B3" s="136">
        <v>164.16</v>
      </c>
      <c r="C3" s="113">
        <v>5787</v>
      </c>
      <c r="D3" s="135">
        <f t="shared" ref="D3:D5" si="0">B3*C3</f>
        <v>949993.91999999993</v>
      </c>
      <c r="E3" s="113" t="s">
        <v>104</v>
      </c>
      <c r="F3" s="137" t="s">
        <v>110</v>
      </c>
      <c r="G3" s="88" t="s">
        <v>111</v>
      </c>
    </row>
    <row r="4" spans="1:7" ht="30" x14ac:dyDescent="0.2">
      <c r="A4" s="111" t="s">
        <v>71</v>
      </c>
      <c r="B4" s="112">
        <v>174.24</v>
      </c>
      <c r="C4" s="113">
        <v>5787</v>
      </c>
      <c r="D4" s="135">
        <f t="shared" si="0"/>
        <v>1008326.88</v>
      </c>
      <c r="E4" s="113" t="s">
        <v>104</v>
      </c>
      <c r="F4" s="114" t="s">
        <v>112</v>
      </c>
    </row>
    <row r="5" spans="1:7" ht="60" x14ac:dyDescent="0.2">
      <c r="A5" s="111" t="s">
        <v>72</v>
      </c>
      <c r="B5" s="112">
        <v>250</v>
      </c>
      <c r="C5" s="115">
        <v>1447</v>
      </c>
      <c r="D5" s="135">
        <f t="shared" si="0"/>
        <v>361750</v>
      </c>
      <c r="E5" s="112" t="s">
        <v>104</v>
      </c>
      <c r="F5" s="114" t="s">
        <v>113</v>
      </c>
    </row>
    <row r="6" spans="1:7" ht="15" x14ac:dyDescent="0.2">
      <c r="A6" s="138"/>
      <c r="B6" s="139"/>
      <c r="C6" s="140"/>
      <c r="D6" s="139"/>
      <c r="E6" s="139"/>
    </row>
    <row r="7" spans="1:7" ht="43" customHeight="1" x14ac:dyDescent="0.2">
      <c r="A7" s="141" t="s">
        <v>114</v>
      </c>
      <c r="B7" s="141"/>
      <c r="C7" s="141"/>
      <c r="D7" s="141"/>
      <c r="E7" s="139"/>
    </row>
    <row r="8" spans="1:7" x14ac:dyDescent="0.2">
      <c r="B8" s="88"/>
      <c r="C8" s="142"/>
      <c r="D8" s="88"/>
      <c r="E8" s="139"/>
    </row>
    <row r="9" spans="1:7" ht="39" customHeight="1" x14ac:dyDescent="0.2">
      <c r="A9" s="141" t="s">
        <v>115</v>
      </c>
      <c r="B9" s="141"/>
      <c r="C9" s="141"/>
      <c r="D9" s="141"/>
      <c r="E9" s="139"/>
    </row>
    <row r="10" spans="1:7" ht="15" thickBot="1" x14ac:dyDescent="0.25">
      <c r="B10" s="88"/>
      <c r="C10" s="142"/>
      <c r="D10" s="88"/>
      <c r="E10" s="139"/>
    </row>
    <row r="11" spans="1:7" ht="16" thickBot="1" x14ac:dyDescent="0.25">
      <c r="A11" s="143" t="s">
        <v>116</v>
      </c>
      <c r="B11" s="144"/>
      <c r="C11" s="144"/>
      <c r="D11" s="145"/>
      <c r="E11" s="139"/>
    </row>
    <row r="12" spans="1:7" ht="32" x14ac:dyDescent="0.2">
      <c r="A12" s="146"/>
      <c r="B12" s="147" t="s">
        <v>67</v>
      </c>
      <c r="C12" s="148" t="s">
        <v>61</v>
      </c>
      <c r="D12" s="149" t="s">
        <v>68</v>
      </c>
      <c r="E12" s="139"/>
    </row>
    <row r="13" spans="1:7" x14ac:dyDescent="0.2">
      <c r="A13" s="150" t="s">
        <v>117</v>
      </c>
      <c r="B13" s="136">
        <f>'Rozpocet Ziadost'!C4+'Rozpocet Ziadost'!C5+'Rozpocet Ziadost'!C7+'Rozpocet Ziadost'!C8</f>
        <v>1584.94</v>
      </c>
      <c r="C13" s="151">
        <f>'Rozpocet Ziadost'!B4</f>
        <v>5787</v>
      </c>
      <c r="D13" s="152">
        <f t="shared" ref="D13:D16" si="1">B13*C13</f>
        <v>9172047.7800000012</v>
      </c>
      <c r="E13" s="139"/>
    </row>
    <row r="14" spans="1:7" x14ac:dyDescent="0.2">
      <c r="A14" s="150" t="s">
        <v>118</v>
      </c>
      <c r="B14" s="136">
        <f>'Rozpocet Ziadost'!C13+'Rozpocet Ziadost'!C14</f>
        <v>85</v>
      </c>
      <c r="C14" s="151">
        <f>C13</f>
        <v>5787</v>
      </c>
      <c r="D14" s="152">
        <f t="shared" si="1"/>
        <v>491895</v>
      </c>
      <c r="E14" s="139"/>
    </row>
    <row r="15" spans="1:7" x14ac:dyDescent="0.2">
      <c r="A15" s="153" t="s">
        <v>119</v>
      </c>
      <c r="B15" s="154">
        <v>689.15</v>
      </c>
      <c r="C15" s="155">
        <f>'Rozpocet Ziadost'!B6</f>
        <v>1355</v>
      </c>
      <c r="D15" s="152">
        <f t="shared" si="1"/>
        <v>933798.25</v>
      </c>
      <c r="E15" s="139"/>
    </row>
    <row r="16" spans="1:7" x14ac:dyDescent="0.2">
      <c r="A16" s="153" t="s">
        <v>120</v>
      </c>
      <c r="B16" s="154">
        <f>'Rozpocet Ziadost'!C15</f>
        <v>40</v>
      </c>
      <c r="C16" s="155">
        <f>C15</f>
        <v>1355</v>
      </c>
      <c r="D16" s="152">
        <f t="shared" si="1"/>
        <v>54200</v>
      </c>
      <c r="E16" s="139"/>
    </row>
    <row r="17" spans="1:5" ht="16" thickBot="1" x14ac:dyDescent="0.25">
      <c r="A17" s="156"/>
      <c r="B17" s="157"/>
      <c r="C17" s="158"/>
      <c r="D17" s="159">
        <f>SUM(D13:D16)</f>
        <v>10651941.030000001</v>
      </c>
      <c r="E17" s="139"/>
    </row>
    <row r="18" spans="1:5" ht="15" x14ac:dyDescent="0.2">
      <c r="A18" s="138"/>
      <c r="B18" s="139"/>
      <c r="C18" s="140"/>
      <c r="D18" s="139"/>
      <c r="E18" s="139"/>
    </row>
    <row r="19" spans="1:5" ht="15" x14ac:dyDescent="0.2">
      <c r="A19" s="116"/>
      <c r="B19" s="117"/>
      <c r="C19" s="89"/>
      <c r="D19" s="89"/>
      <c r="E19" s="88"/>
    </row>
    <row r="20" spans="1:5" x14ac:dyDescent="0.2">
      <c r="A20" s="118" t="s">
        <v>101</v>
      </c>
      <c r="B20" s="119" t="s">
        <v>75</v>
      </c>
      <c r="C20" s="119" t="s">
        <v>105</v>
      </c>
      <c r="D20" s="119" t="s">
        <v>76</v>
      </c>
      <c r="E20" s="119" t="s">
        <v>106</v>
      </c>
    </row>
    <row r="21" spans="1:5" ht="15" x14ac:dyDescent="0.2">
      <c r="A21" s="120" t="s">
        <v>77</v>
      </c>
      <c r="B21" s="121" t="s">
        <v>79</v>
      </c>
      <c r="C21" s="122">
        <v>42</v>
      </c>
      <c r="D21" s="160">
        <v>5787</v>
      </c>
      <c r="E21" s="123" t="s">
        <v>74</v>
      </c>
    </row>
    <row r="22" spans="1:5" ht="15" x14ac:dyDescent="0.2">
      <c r="A22" s="120" t="s">
        <v>78</v>
      </c>
      <c r="B22" s="121" t="s">
        <v>79</v>
      </c>
      <c r="C22" s="122">
        <v>44</v>
      </c>
      <c r="D22" s="160">
        <v>5787</v>
      </c>
      <c r="E22" s="123" t="s">
        <v>74</v>
      </c>
    </row>
    <row r="23" spans="1:5" x14ac:dyDescent="0.2">
      <c r="A23" s="124" t="s">
        <v>80</v>
      </c>
      <c r="B23" s="124" t="s">
        <v>81</v>
      </c>
      <c r="C23" s="124" t="s">
        <v>82</v>
      </c>
      <c r="D23" s="124">
        <v>13.070369348659005</v>
      </c>
      <c r="E23" s="124"/>
    </row>
    <row r="24" spans="1:5" x14ac:dyDescent="0.2">
      <c r="A24" s="124" t="s">
        <v>83</v>
      </c>
      <c r="B24" s="124" t="s">
        <v>84</v>
      </c>
      <c r="C24" s="124" t="s">
        <v>85</v>
      </c>
      <c r="D24" s="124">
        <v>1957.5</v>
      </c>
      <c r="E24" s="124"/>
    </row>
    <row r="26" spans="1:5" x14ac:dyDescent="0.2">
      <c r="E26" s="91"/>
    </row>
    <row r="27" spans="1:5" x14ac:dyDescent="0.2">
      <c r="A27" s="118" t="s">
        <v>101</v>
      </c>
      <c r="B27" s="119" t="s">
        <v>75</v>
      </c>
      <c r="C27" s="119" t="s">
        <v>105</v>
      </c>
      <c r="D27" s="119" t="s">
        <v>76</v>
      </c>
      <c r="E27" s="119" t="s">
        <v>106</v>
      </c>
    </row>
    <row r="28" spans="1:5" x14ac:dyDescent="0.2">
      <c r="A28" s="161" t="s">
        <v>121</v>
      </c>
      <c r="B28" t="s">
        <v>122</v>
      </c>
      <c r="C28">
        <v>24</v>
      </c>
      <c r="E28" s="91" t="s">
        <v>123</v>
      </c>
    </row>
    <row r="29" spans="1:5" x14ac:dyDescent="0.2">
      <c r="A29" s="162"/>
      <c r="B29" t="s">
        <v>124</v>
      </c>
      <c r="C29">
        <f>C28*8</f>
        <v>192</v>
      </c>
    </row>
    <row r="30" spans="1:5" x14ac:dyDescent="0.2">
      <c r="A30" s="124" t="s">
        <v>80</v>
      </c>
      <c r="B30" s="124" t="s">
        <v>81</v>
      </c>
      <c r="C30" s="124" t="s">
        <v>82</v>
      </c>
      <c r="D30" s="124">
        <v>13.070369348659005</v>
      </c>
    </row>
    <row r="31" spans="1:5" x14ac:dyDescent="0.2">
      <c r="A31" s="124" t="s">
        <v>83</v>
      </c>
      <c r="B31" s="124" t="s">
        <v>84</v>
      </c>
      <c r="C31" s="124" t="s">
        <v>85</v>
      </c>
      <c r="D31" s="124">
        <v>1957.5</v>
      </c>
    </row>
    <row r="33" spans="1:5" x14ac:dyDescent="0.2">
      <c r="A33" s="118" t="s">
        <v>101</v>
      </c>
      <c r="B33" s="119" t="s">
        <v>75</v>
      </c>
      <c r="C33" s="119" t="s">
        <v>105</v>
      </c>
      <c r="D33" s="119" t="s">
        <v>76</v>
      </c>
      <c r="E33" s="119" t="s">
        <v>106</v>
      </c>
    </row>
    <row r="34" spans="1:5" x14ac:dyDescent="0.2">
      <c r="A34" s="161" t="s">
        <v>121</v>
      </c>
      <c r="B34" t="s">
        <v>122</v>
      </c>
      <c r="E34" s="91" t="s">
        <v>125</v>
      </c>
    </row>
    <row r="35" spans="1:5" x14ac:dyDescent="0.2">
      <c r="A35" s="162"/>
      <c r="B35" t="s">
        <v>124</v>
      </c>
      <c r="C35">
        <v>112</v>
      </c>
    </row>
    <row r="36" spans="1:5" x14ac:dyDescent="0.2">
      <c r="A36" s="124" t="s">
        <v>80</v>
      </c>
      <c r="B36" s="124" t="s">
        <v>81</v>
      </c>
      <c r="C36" s="124" t="s">
        <v>82</v>
      </c>
      <c r="D36" s="124">
        <v>13.070369348659005</v>
      </c>
    </row>
    <row r="37" spans="1:5" x14ac:dyDescent="0.2">
      <c r="A37" s="124" t="s">
        <v>83</v>
      </c>
      <c r="B37" s="124" t="s">
        <v>84</v>
      </c>
      <c r="C37" s="124" t="s">
        <v>85</v>
      </c>
      <c r="D37" s="124">
        <v>1957.5</v>
      </c>
    </row>
  </sheetData>
  <mergeCells count="5">
    <mergeCell ref="A7:D7"/>
    <mergeCell ref="A9:D9"/>
    <mergeCell ref="A11:D11"/>
    <mergeCell ref="A28:A29"/>
    <mergeCell ref="A34:A35"/>
  </mergeCells>
  <hyperlinks>
    <hyperlink ref="E21" r:id="rId1" xr:uid="{8CFB2912-92B9-DE41-BA67-681CAAB020B8}"/>
    <hyperlink ref="E22" r:id="rId2" xr:uid="{6E1B63A8-A183-0840-9EE4-CF22E359F8FA}"/>
    <hyperlink ref="E28" r:id="rId3" xr:uid="{3E6C5065-D888-8C44-A50D-28BFD732D16B}"/>
    <hyperlink ref="E34" r:id="rId4" xr:uid="{211E89A2-3A5C-E447-B801-54AE2B63355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5E1A-D6F0-6F4C-B775-39A9DCB00D51}">
  <dimension ref="A1:G20"/>
  <sheetViews>
    <sheetView topLeftCell="A4" workbookViewId="0">
      <selection activeCell="D5" sqref="D5"/>
    </sheetView>
  </sheetViews>
  <sheetFormatPr baseColWidth="10" defaultColWidth="41.3984375" defaultRowHeight="15" x14ac:dyDescent="0.2"/>
  <cols>
    <col min="1" max="1" width="41.3984375" style="116" bestFit="1" customWidth="1"/>
    <col min="2" max="2" width="7.19921875" style="116" bestFit="1" customWidth="1"/>
    <col min="3" max="3" width="29.19921875" style="116" bestFit="1" customWidth="1"/>
    <col min="4" max="4" width="19.19921875" style="116" bestFit="1" customWidth="1"/>
    <col min="5" max="5" width="18.59765625" style="116" bestFit="1" customWidth="1"/>
    <col min="6" max="6" width="47.3984375" style="116" customWidth="1"/>
    <col min="7" max="16384" width="41.3984375" style="116"/>
  </cols>
  <sheetData>
    <row r="1" spans="1:7" ht="19" x14ac:dyDescent="0.25">
      <c r="A1" s="163" t="s">
        <v>126</v>
      </c>
      <c r="B1" s="163"/>
      <c r="C1" s="163"/>
      <c r="D1" s="163"/>
      <c r="E1" s="163"/>
      <c r="F1" s="163"/>
      <c r="G1" s="163"/>
    </row>
    <row r="2" spans="1:7" ht="16" thickBot="1" x14ac:dyDescent="0.25"/>
    <row r="3" spans="1:7" ht="21" thickBot="1" x14ac:dyDescent="0.25">
      <c r="A3" s="164" t="s">
        <v>127</v>
      </c>
      <c r="B3" s="165" t="s">
        <v>61</v>
      </c>
      <c r="C3" s="166" t="s">
        <v>128</v>
      </c>
      <c r="D3" s="166" t="s">
        <v>108</v>
      </c>
      <c r="E3" s="167" t="s">
        <v>129</v>
      </c>
      <c r="F3" s="168"/>
      <c r="G3" s="168"/>
    </row>
    <row r="4" spans="1:7" x14ac:dyDescent="0.2">
      <c r="A4" s="169" t="s">
        <v>66</v>
      </c>
      <c r="B4" s="170">
        <v>5787</v>
      </c>
      <c r="C4" s="171">
        <v>814</v>
      </c>
      <c r="D4" s="171">
        <f>B4*C4</f>
        <v>4710618</v>
      </c>
      <c r="E4" s="172">
        <f>D4*1.2</f>
        <v>5652741.5999999996</v>
      </c>
      <c r="F4" s="173" t="s">
        <v>130</v>
      </c>
    </row>
    <row r="5" spans="1:7" x14ac:dyDescent="0.2">
      <c r="A5" s="174" t="s">
        <v>65</v>
      </c>
      <c r="B5" s="120">
        <f>$B$4</f>
        <v>5787</v>
      </c>
      <c r="C5" s="175">
        <v>227.5</v>
      </c>
      <c r="D5" s="175">
        <f t="shared" ref="D5:D8" si="0">B5*C5</f>
        <v>1316542.5</v>
      </c>
      <c r="E5" s="176">
        <f t="shared" ref="E5:E9" si="1">D5*1.2</f>
        <v>1579851</v>
      </c>
      <c r="F5" s="173"/>
    </row>
    <row r="6" spans="1:7" x14ac:dyDescent="0.2">
      <c r="A6" s="174" t="s">
        <v>64</v>
      </c>
      <c r="B6" s="177">
        <v>1355</v>
      </c>
      <c r="C6" s="175">
        <v>689.15</v>
      </c>
      <c r="D6" s="175">
        <f t="shared" si="0"/>
        <v>933798.25</v>
      </c>
      <c r="E6" s="176">
        <f t="shared" si="1"/>
        <v>1120557.8999999999</v>
      </c>
      <c r="F6" s="173"/>
    </row>
    <row r="7" spans="1:7" x14ac:dyDescent="0.2">
      <c r="A7" s="174" t="s">
        <v>63</v>
      </c>
      <c r="B7" s="120">
        <f t="shared" ref="B7:B8" si="2">$B$4</f>
        <v>5787</v>
      </c>
      <c r="C7" s="175">
        <v>481</v>
      </c>
      <c r="D7" s="175">
        <f t="shared" si="0"/>
        <v>2783547</v>
      </c>
      <c r="E7" s="176">
        <f t="shared" si="1"/>
        <v>3340256.4</v>
      </c>
      <c r="F7" s="173"/>
    </row>
    <row r="8" spans="1:7" x14ac:dyDescent="0.2">
      <c r="A8" s="174" t="s">
        <v>62</v>
      </c>
      <c r="B8" s="120">
        <f t="shared" si="2"/>
        <v>5787</v>
      </c>
      <c r="C8" s="175">
        <v>62.44</v>
      </c>
      <c r="D8" s="175">
        <f t="shared" si="0"/>
        <v>361340.27999999997</v>
      </c>
      <c r="E8" s="176">
        <f t="shared" si="1"/>
        <v>433608.33599999995</v>
      </c>
      <c r="F8" s="173"/>
    </row>
    <row r="9" spans="1:7" ht="16" thickBot="1" x14ac:dyDescent="0.25">
      <c r="A9" s="178" t="s">
        <v>131</v>
      </c>
      <c r="B9" s="179"/>
      <c r="C9" s="180"/>
      <c r="D9" s="180">
        <f>SUM(D4:D8)</f>
        <v>10105846.029999999</v>
      </c>
      <c r="E9" s="181">
        <f t="shared" si="1"/>
        <v>12127015.236</v>
      </c>
    </row>
    <row r="11" spans="1:7" ht="16" thickBot="1" x14ac:dyDescent="0.25"/>
    <row r="12" spans="1:7" ht="20" thickBot="1" x14ac:dyDescent="0.25">
      <c r="A12" s="182" t="s">
        <v>132</v>
      </c>
      <c r="B12" s="183" t="s">
        <v>61</v>
      </c>
      <c r="C12" s="184" t="s">
        <v>128</v>
      </c>
      <c r="D12" s="184" t="s">
        <v>108</v>
      </c>
      <c r="E12" s="185" t="s">
        <v>129</v>
      </c>
      <c r="F12" s="186"/>
      <c r="G12" s="168"/>
    </row>
    <row r="13" spans="1:7" ht="16" x14ac:dyDescent="0.2">
      <c r="A13" s="187" t="s">
        <v>90</v>
      </c>
      <c r="B13" s="188">
        <f t="shared" ref="B13:B14" si="3">$B$4</f>
        <v>5787</v>
      </c>
      <c r="C13" s="189">
        <v>10</v>
      </c>
      <c r="D13" s="189">
        <f>B13*C13</f>
        <v>57870</v>
      </c>
      <c r="E13" s="190">
        <f t="shared" ref="E13:E16" si="4">D13*1.2</f>
        <v>69444</v>
      </c>
      <c r="F13" s="173" t="s">
        <v>130</v>
      </c>
    </row>
    <row r="14" spans="1:7" ht="32" x14ac:dyDescent="0.2">
      <c r="A14" s="191" t="s">
        <v>91</v>
      </c>
      <c r="B14" s="192">
        <f t="shared" si="3"/>
        <v>5787</v>
      </c>
      <c r="C14" s="175">
        <v>75</v>
      </c>
      <c r="D14" s="175">
        <f t="shared" ref="D14:D15" si="5">B14*C14</f>
        <v>434025</v>
      </c>
      <c r="E14" s="176">
        <f t="shared" si="4"/>
        <v>520830</v>
      </c>
      <c r="F14" s="173"/>
      <c r="G14" s="193"/>
    </row>
    <row r="15" spans="1:7" ht="33" customHeight="1" thickBot="1" x14ac:dyDescent="0.25">
      <c r="A15" s="194" t="s">
        <v>92</v>
      </c>
      <c r="B15" s="192">
        <f>B6</f>
        <v>1355</v>
      </c>
      <c r="C15" s="175">
        <v>40</v>
      </c>
      <c r="D15" s="175">
        <f t="shared" si="5"/>
        <v>54200</v>
      </c>
      <c r="E15" s="176">
        <f t="shared" si="4"/>
        <v>65040</v>
      </c>
      <c r="F15" s="173"/>
    </row>
    <row r="16" spans="1:7" ht="16" thickBot="1" x14ac:dyDescent="0.25">
      <c r="A16" s="178" t="s">
        <v>131</v>
      </c>
      <c r="B16" s="179"/>
      <c r="C16" s="180"/>
      <c r="D16" s="180">
        <f>SUM(D13:D15)</f>
        <v>546095</v>
      </c>
      <c r="E16" s="181">
        <f t="shared" si="4"/>
        <v>655314</v>
      </c>
    </row>
    <row r="19" spans="1:5" ht="16" x14ac:dyDescent="0.2">
      <c r="A19" s="195" t="s">
        <v>133</v>
      </c>
      <c r="B19" s="195"/>
      <c r="C19" s="195"/>
      <c r="D19" s="196" t="s">
        <v>108</v>
      </c>
      <c r="E19" s="196" t="s">
        <v>129</v>
      </c>
    </row>
    <row r="20" spans="1:5" x14ac:dyDescent="0.2">
      <c r="A20" s="195"/>
      <c r="B20" s="195"/>
      <c r="C20" s="195"/>
      <c r="D20" s="197">
        <f>SUM(D9,D16)</f>
        <v>10651941.029999999</v>
      </c>
      <c r="E20" s="197">
        <f>D20*1.2</f>
        <v>12782329.236</v>
      </c>
    </row>
  </sheetData>
  <mergeCells count="4">
    <mergeCell ref="A1:G1"/>
    <mergeCell ref="F4:F8"/>
    <mergeCell ref="F13:F15"/>
    <mergeCell ref="A19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2E83-8074-2B40-A10E-C105D77FFA1B}">
  <dimension ref="M13:M14"/>
  <sheetViews>
    <sheetView tabSelected="1" workbookViewId="0">
      <selection activeCell="D5" sqref="D5"/>
    </sheetView>
  </sheetViews>
  <sheetFormatPr baseColWidth="10" defaultColWidth="10.59765625" defaultRowHeight="15" x14ac:dyDescent="0.2"/>
  <cols>
    <col min="1" max="16384" width="10.59765625" style="116"/>
  </cols>
  <sheetData>
    <row r="13" spans="13:13" x14ac:dyDescent="0.2">
      <c r="M13" s="116" t="s">
        <v>134</v>
      </c>
    </row>
    <row r="14" spans="13:13" x14ac:dyDescent="0.2">
      <c r="M14" s="116" t="s">
        <v>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SUMAR</vt:lpstr>
      <vt:lpstr>Kalkulacka_OBMENA IKT</vt:lpstr>
      <vt:lpstr>Kalkulacka_PODPORA_Agendy</vt:lpstr>
      <vt:lpstr>Individualne</vt:lpstr>
      <vt:lpstr>ASIS</vt:lpstr>
      <vt:lpstr>Rozpocet Ziadost</vt:lpstr>
      <vt:lpstr>Gartner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Microsoft Office User</cp:lastModifiedBy>
  <dcterms:created xsi:type="dcterms:W3CDTF">2021-07-29T07:17:45Z</dcterms:created>
  <dcterms:modified xsi:type="dcterms:W3CDTF">2022-08-17T22:41:22Z</dcterms:modified>
</cp:coreProperties>
</file>