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eam Drives\SK Atlas PI\Studia\"/>
    </mc:Choice>
  </mc:AlternateContent>
  <bookViews>
    <workbookView xWindow="0" yWindow="0" windowWidth="14115" windowHeight="2805" tabRatio="838" firstSheet="1" activeTab="5"/>
  </bookViews>
  <sheets>
    <sheet name="Úvod" sheetId="5" r:id="rId1"/>
    <sheet name="Zoznam hárkov" sheetId="25" r:id="rId2"/>
    <sheet name="Sumarizácia" sheetId="20" r:id="rId3"/>
    <sheet name="CBA - Agendové IS" sheetId="2" r:id="rId4"/>
    <sheet name="Analyza citlivosti - AgendovéIS" sheetId="7" r:id="rId5"/>
    <sheet name="Prínosy - Agendové IS" sheetId="4" r:id="rId6"/>
    <sheet name="Výdavky - Agendové IS" sheetId="6" r:id="rId7"/>
    <sheet name="Parametre - Agendové IS" sheetId="3" r:id="rId8"/>
    <sheet name="TCO" sheetId="11" r:id="rId9"/>
    <sheet name="TCO AS IS - SW" sheetId="17" r:id="rId10"/>
    <sheet name="TCO AS IS - HW" sheetId="18" r:id="rId11"/>
    <sheet name="TCO TO BE- SW" sheetId="9" r:id="rId12"/>
    <sheet name="TCO TO BE - HW" sheetId="10" r:id="rId13"/>
    <sheet name="Rozpočet - vývoj Aplikácií" sheetId="19" r:id="rId14"/>
    <sheet name="Zdroje" sheetId="29" r:id="rId15"/>
    <sheet name="Rozpočet - HW a licencie" sheetId="27" r:id="rId16"/>
    <sheet name="rozpočet podľa aktivít" sheetId="28" r:id="rId17"/>
    <sheet name="Slepý rozpočet" sheetId="26" r:id="rId18"/>
    <sheet name="Faktory" sheetId="1" r:id="rId19"/>
    <sheet name="Procesné mapy" sheetId="22" r:id="rId20"/>
    <sheet name="Procesy - AS IS" sheetId="23" r:id="rId21"/>
    <sheet name="Procesy - TO BE" sheetId="24" r:id="rId22"/>
    <sheet name="Rozdelenie prínosov" sheetId="14" r:id="rId23"/>
  </sheets>
  <definedNames>
    <definedName name="_xlnm.Print_Area" localSheetId="19">'Procesné mapy'!$A$1:$T$87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T92" i="9" l="1"/>
  <c r="T93" i="9"/>
  <c r="T94" i="9"/>
  <c r="T95" i="9"/>
  <c r="T96" i="9"/>
  <c r="T97" i="9"/>
  <c r="T98" i="9"/>
  <c r="T91" i="9"/>
  <c r="G5" i="9"/>
  <c r="H5" i="9" l="1"/>
  <c r="E138" i="14" l="1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A107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A72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A37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6" i="14"/>
  <c r="D6" i="14"/>
  <c r="E5" i="14"/>
  <c r="D5" i="14"/>
  <c r="E4" i="14"/>
  <c r="D4" i="14"/>
  <c r="A2" i="14"/>
  <c r="D8" i="1"/>
  <c r="AP25" i="26"/>
  <c r="AO25" i="26"/>
  <c r="AN25" i="26"/>
  <c r="AM25" i="26"/>
  <c r="AI25" i="26"/>
  <c r="AH25" i="26"/>
  <c r="AG25" i="26"/>
  <c r="AF25" i="26"/>
  <c r="AE25" i="26"/>
  <c r="AD25" i="26"/>
  <c r="AC25" i="26"/>
  <c r="AP24" i="26"/>
  <c r="AI24" i="26"/>
  <c r="AH24" i="26"/>
  <c r="AG24" i="26"/>
  <c r="AP23" i="26"/>
  <c r="AI23" i="26"/>
  <c r="AH23" i="26"/>
  <c r="AG23" i="26"/>
  <c r="AP22" i="26"/>
  <c r="AI22" i="26"/>
  <c r="AH22" i="26"/>
  <c r="AG22" i="26"/>
  <c r="AP21" i="26"/>
  <c r="AI21" i="26"/>
  <c r="AH21" i="26"/>
  <c r="AG21" i="26"/>
  <c r="AP20" i="26"/>
  <c r="AI20" i="26"/>
  <c r="AH20" i="26"/>
  <c r="AG20" i="26"/>
  <c r="AP19" i="26"/>
  <c r="AI19" i="26"/>
  <c r="AH19" i="26"/>
  <c r="AG19" i="26"/>
  <c r="AP18" i="26"/>
  <c r="AI18" i="26"/>
  <c r="AH18" i="26"/>
  <c r="AG18" i="26"/>
  <c r="AP17" i="26"/>
  <c r="AI17" i="26"/>
  <c r="AH17" i="26"/>
  <c r="AG17" i="26"/>
  <c r="AP16" i="26"/>
  <c r="AI16" i="26"/>
  <c r="AH16" i="26"/>
  <c r="AG16" i="26"/>
  <c r="AP15" i="26"/>
  <c r="AI15" i="26"/>
  <c r="AH15" i="26"/>
  <c r="AG15" i="26"/>
  <c r="AP14" i="26"/>
  <c r="AI14" i="26"/>
  <c r="AH14" i="26"/>
  <c r="AG14" i="26"/>
  <c r="AP13" i="26"/>
  <c r="AI13" i="26"/>
  <c r="AH13" i="26"/>
  <c r="AG13" i="26"/>
  <c r="AP12" i="26"/>
  <c r="AI12" i="26"/>
  <c r="AH12" i="26"/>
  <c r="AG12" i="26"/>
  <c r="AP11" i="26"/>
  <c r="AI11" i="26"/>
  <c r="AH11" i="26"/>
  <c r="AG11" i="26"/>
  <c r="AP10" i="26"/>
  <c r="AI10" i="26"/>
  <c r="AH10" i="26"/>
  <c r="AG10" i="26"/>
  <c r="AP9" i="26"/>
  <c r="AI9" i="26"/>
  <c r="AH9" i="26"/>
  <c r="AG9" i="26"/>
  <c r="AP8" i="26"/>
  <c r="AI8" i="26"/>
  <c r="AH8" i="26"/>
  <c r="AG8" i="26"/>
  <c r="AP7" i="26"/>
  <c r="AI7" i="26"/>
  <c r="AH7" i="26"/>
  <c r="AG7" i="26"/>
  <c r="AP6" i="26"/>
  <c r="AI6" i="26"/>
  <c r="AH6" i="26"/>
  <c r="AG6" i="26"/>
  <c r="B11" i="28"/>
  <c r="B10" i="28"/>
  <c r="B9" i="28"/>
  <c r="B8" i="28"/>
  <c r="B7" i="28"/>
  <c r="B6" i="28"/>
  <c r="B3" i="28"/>
  <c r="B2" i="28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2" i="27"/>
  <c r="E11" i="27"/>
  <c r="E10" i="27"/>
  <c r="E9" i="27"/>
  <c r="E8" i="27"/>
  <c r="E7" i="27"/>
  <c r="B12" i="28" s="1"/>
  <c r="E6" i="27"/>
  <c r="E5" i="27"/>
  <c r="E4" i="27"/>
  <c r="E3" i="27"/>
  <c r="D16" i="29"/>
  <c r="D15" i="29"/>
  <c r="D14" i="29"/>
  <c r="D13" i="29"/>
  <c r="D12" i="29"/>
  <c r="D11" i="29"/>
  <c r="D10" i="29"/>
  <c r="D9" i="29"/>
  <c r="D8" i="29"/>
  <c r="D7" i="29"/>
  <c r="D6" i="29"/>
  <c r="D5" i="29"/>
  <c r="AM93" i="19"/>
  <c r="AL93" i="19"/>
  <c r="AK93" i="19"/>
  <c r="AG93" i="19"/>
  <c r="AF93" i="19"/>
  <c r="AM92" i="19"/>
  <c r="AL92" i="19"/>
  <c r="AK92" i="19"/>
  <c r="AG92" i="19"/>
  <c r="AF92" i="19"/>
  <c r="AM89" i="19"/>
  <c r="AL89" i="19"/>
  <c r="AK89" i="19"/>
  <c r="AG89" i="19"/>
  <c r="AF89" i="19"/>
  <c r="AM88" i="19"/>
  <c r="AG88" i="19"/>
  <c r="AF88" i="19"/>
  <c r="AM87" i="19"/>
  <c r="AG87" i="19"/>
  <c r="AF87" i="19"/>
  <c r="AM86" i="19"/>
  <c r="AL86" i="19"/>
  <c r="AK86" i="19"/>
  <c r="AG86" i="19"/>
  <c r="AF86" i="19"/>
  <c r="AM85" i="19"/>
  <c r="AL85" i="19"/>
  <c r="AK85" i="19"/>
  <c r="AG85" i="19"/>
  <c r="AF85" i="19"/>
  <c r="AM84" i="19"/>
  <c r="AL84" i="19"/>
  <c r="AK84" i="19"/>
  <c r="AG84" i="19"/>
  <c r="AF84" i="19"/>
  <c r="AM83" i="19"/>
  <c r="AL83" i="19"/>
  <c r="AK83" i="19"/>
  <c r="AG83" i="19"/>
  <c r="AF83" i="19"/>
  <c r="AM82" i="19"/>
  <c r="AG82" i="19"/>
  <c r="AF82" i="19"/>
  <c r="AM81" i="19"/>
  <c r="AL81" i="19"/>
  <c r="AG81" i="19"/>
  <c r="AF81" i="19"/>
  <c r="AM80" i="19"/>
  <c r="AL80" i="19"/>
  <c r="AK80" i="19"/>
  <c r="AG80" i="19"/>
  <c r="AF80" i="19"/>
  <c r="AM79" i="19"/>
  <c r="AL79" i="19"/>
  <c r="AK79" i="19"/>
  <c r="AG79" i="19"/>
  <c r="AF79" i="19"/>
  <c r="AM78" i="19"/>
  <c r="AL78" i="19"/>
  <c r="AK78" i="19"/>
  <c r="AG78" i="19"/>
  <c r="AF78" i="19"/>
  <c r="AM77" i="19"/>
  <c r="AL77" i="19"/>
  <c r="AK77" i="19"/>
  <c r="AG77" i="19"/>
  <c r="AF77" i="19"/>
  <c r="AM76" i="19"/>
  <c r="AG76" i="19"/>
  <c r="AF76" i="19"/>
  <c r="AM75" i="19"/>
  <c r="AL75" i="19"/>
  <c r="AG75" i="19"/>
  <c r="AF75" i="19"/>
  <c r="AM74" i="19"/>
  <c r="AL74" i="19"/>
  <c r="AK74" i="19"/>
  <c r="AG74" i="19"/>
  <c r="AF74" i="19"/>
  <c r="AM73" i="19"/>
  <c r="AL73" i="19"/>
  <c r="AK73" i="19"/>
  <c r="AG73" i="19"/>
  <c r="AF73" i="19"/>
  <c r="AM72" i="19"/>
  <c r="AL72" i="19"/>
  <c r="AK72" i="19"/>
  <c r="AG72" i="19"/>
  <c r="AF72" i="19"/>
  <c r="AM71" i="19"/>
  <c r="AL71" i="19"/>
  <c r="AK71" i="19"/>
  <c r="AG71" i="19"/>
  <c r="AF71" i="19"/>
  <c r="AM70" i="19"/>
  <c r="AG70" i="19"/>
  <c r="AF70" i="19"/>
  <c r="AM69" i="19"/>
  <c r="AG69" i="19"/>
  <c r="AF69" i="19"/>
  <c r="AM68" i="19"/>
  <c r="AL68" i="19"/>
  <c r="AK68" i="19"/>
  <c r="AG68" i="19"/>
  <c r="AF68" i="19"/>
  <c r="AM67" i="19"/>
  <c r="AL67" i="19"/>
  <c r="AK67" i="19"/>
  <c r="AG67" i="19"/>
  <c r="AF67" i="19"/>
  <c r="AM66" i="19"/>
  <c r="AL66" i="19"/>
  <c r="AK66" i="19"/>
  <c r="AG66" i="19"/>
  <c r="AF66" i="19"/>
  <c r="AM65" i="19"/>
  <c r="AL65" i="19"/>
  <c r="AK65" i="19"/>
  <c r="AG65" i="19"/>
  <c r="AF65" i="19"/>
  <c r="AM64" i="19"/>
  <c r="AG64" i="19"/>
  <c r="AF64" i="19"/>
  <c r="AM63" i="19"/>
  <c r="AL63" i="19"/>
  <c r="AG63" i="19"/>
  <c r="AF63" i="19"/>
  <c r="AM62" i="19"/>
  <c r="AL62" i="19"/>
  <c r="AK62" i="19"/>
  <c r="AG62" i="19"/>
  <c r="AF62" i="19"/>
  <c r="AM61" i="19"/>
  <c r="AL61" i="19"/>
  <c r="AK61" i="19"/>
  <c r="AG61" i="19"/>
  <c r="AF61" i="19"/>
  <c r="AM60" i="19"/>
  <c r="AL60" i="19"/>
  <c r="AK60" i="19"/>
  <c r="AG60" i="19"/>
  <c r="AF60" i="19"/>
  <c r="AM59" i="19"/>
  <c r="AL59" i="19"/>
  <c r="AK59" i="19"/>
  <c r="AG59" i="19"/>
  <c r="AF59" i="19"/>
  <c r="AM58" i="19"/>
  <c r="AG58" i="19"/>
  <c r="AF58" i="19"/>
  <c r="AM57" i="19"/>
  <c r="AL57" i="19"/>
  <c r="AG57" i="19"/>
  <c r="AF57" i="19"/>
  <c r="AM56" i="19"/>
  <c r="AL56" i="19"/>
  <c r="AK56" i="19"/>
  <c r="AG56" i="19"/>
  <c r="AF56" i="19"/>
  <c r="AM55" i="19"/>
  <c r="AL55" i="19"/>
  <c r="AK55" i="19"/>
  <c r="AG55" i="19"/>
  <c r="AF55" i="19"/>
  <c r="AM54" i="19"/>
  <c r="AL54" i="19"/>
  <c r="AK54" i="19"/>
  <c r="AG54" i="19"/>
  <c r="AF54" i="19"/>
  <c r="AM53" i="19"/>
  <c r="AL53" i="19"/>
  <c r="AK53" i="19"/>
  <c r="AG53" i="19"/>
  <c r="AF53" i="19"/>
  <c r="AM52" i="19"/>
  <c r="AG52" i="19"/>
  <c r="AF52" i="19"/>
  <c r="AM51" i="19"/>
  <c r="AG51" i="19"/>
  <c r="AF51" i="19"/>
  <c r="AM50" i="19"/>
  <c r="AL50" i="19"/>
  <c r="AK50" i="19"/>
  <c r="AG50" i="19"/>
  <c r="AF50" i="19"/>
  <c r="AM49" i="19"/>
  <c r="AL49" i="19"/>
  <c r="AK49" i="19"/>
  <c r="AG49" i="19"/>
  <c r="AF49" i="19"/>
  <c r="AM48" i="19"/>
  <c r="AL48" i="19"/>
  <c r="AK48" i="19"/>
  <c r="AG48" i="19"/>
  <c r="AF48" i="19"/>
  <c r="AM47" i="19"/>
  <c r="AL47" i="19"/>
  <c r="AK47" i="19"/>
  <c r="AG47" i="19"/>
  <c r="AF47" i="19"/>
  <c r="AM46" i="19"/>
  <c r="AG46" i="19"/>
  <c r="AF46" i="19"/>
  <c r="AM45" i="19"/>
  <c r="AL45" i="19"/>
  <c r="AG45" i="19"/>
  <c r="AF45" i="19"/>
  <c r="AM44" i="19"/>
  <c r="AL44" i="19"/>
  <c r="AK44" i="19"/>
  <c r="AG44" i="19"/>
  <c r="AF44" i="19"/>
  <c r="AM43" i="19"/>
  <c r="AL43" i="19"/>
  <c r="AK43" i="19"/>
  <c r="AG43" i="19"/>
  <c r="AF43" i="19"/>
  <c r="AM42" i="19"/>
  <c r="AL42" i="19"/>
  <c r="AK42" i="19"/>
  <c r="AG42" i="19"/>
  <c r="AF42" i="19"/>
  <c r="AM41" i="19"/>
  <c r="AL41" i="19"/>
  <c r="AK41" i="19"/>
  <c r="AG41" i="19"/>
  <c r="AF41" i="19"/>
  <c r="AM40" i="19"/>
  <c r="AG40" i="19"/>
  <c r="AF40" i="19"/>
  <c r="AM39" i="19"/>
  <c r="AL39" i="19"/>
  <c r="AG39" i="19"/>
  <c r="AF39" i="19"/>
  <c r="AM38" i="19"/>
  <c r="AL38" i="19"/>
  <c r="AK38" i="19"/>
  <c r="AG38" i="19"/>
  <c r="AF38" i="19"/>
  <c r="AM37" i="19"/>
  <c r="AL37" i="19"/>
  <c r="AK37" i="19"/>
  <c r="AG37" i="19"/>
  <c r="AF37" i="19"/>
  <c r="AM36" i="19"/>
  <c r="AL36" i="19"/>
  <c r="AK36" i="19"/>
  <c r="AG36" i="19"/>
  <c r="AF36" i="19"/>
  <c r="AM35" i="19"/>
  <c r="AL35" i="19"/>
  <c r="AK35" i="19"/>
  <c r="AG35" i="19"/>
  <c r="AF35" i="19"/>
  <c r="AM34" i="19"/>
  <c r="AG34" i="19"/>
  <c r="AF34" i="19"/>
  <c r="AM33" i="19"/>
  <c r="AL33" i="19"/>
  <c r="AG33" i="19"/>
  <c r="AF33" i="19"/>
  <c r="AM32" i="19"/>
  <c r="AL32" i="19"/>
  <c r="AK32" i="19"/>
  <c r="AG32" i="19"/>
  <c r="AF32" i="19"/>
  <c r="AM31" i="19"/>
  <c r="AL31" i="19"/>
  <c r="AK31" i="19"/>
  <c r="AG31" i="19"/>
  <c r="AF31" i="19"/>
  <c r="AM30" i="19"/>
  <c r="AL30" i="19"/>
  <c r="AK30" i="19"/>
  <c r="AG30" i="19"/>
  <c r="AF30" i="19"/>
  <c r="AM29" i="19"/>
  <c r="AL29" i="19"/>
  <c r="AK29" i="19"/>
  <c r="AG29" i="19"/>
  <c r="AF29" i="19"/>
  <c r="AM28" i="19"/>
  <c r="AG28" i="19"/>
  <c r="AF28" i="19"/>
  <c r="AM27" i="19"/>
  <c r="AL27" i="19"/>
  <c r="AG27" i="19"/>
  <c r="AF27" i="19"/>
  <c r="AM26" i="19"/>
  <c r="AL26" i="19"/>
  <c r="AK26" i="19"/>
  <c r="AG26" i="19"/>
  <c r="AF26" i="19"/>
  <c r="AM25" i="19"/>
  <c r="AL25" i="19"/>
  <c r="AK25" i="19"/>
  <c r="AG25" i="19"/>
  <c r="AF25" i="19"/>
  <c r="AM24" i="19"/>
  <c r="AL24" i="19"/>
  <c r="AK24" i="19"/>
  <c r="AG24" i="19"/>
  <c r="AF24" i="19"/>
  <c r="AM23" i="19"/>
  <c r="AL23" i="19"/>
  <c r="AK23" i="19"/>
  <c r="AG23" i="19"/>
  <c r="AF23" i="19"/>
  <c r="AM22" i="19"/>
  <c r="AG22" i="19"/>
  <c r="AF22" i="19"/>
  <c r="AM21" i="19"/>
  <c r="AL21" i="19"/>
  <c r="AG21" i="19"/>
  <c r="AF21" i="19"/>
  <c r="AL20" i="19"/>
  <c r="AK20" i="19"/>
  <c r="AG20" i="19"/>
  <c r="AM20" i="19" s="1"/>
  <c r="AF20" i="19"/>
  <c r="AM19" i="19"/>
  <c r="AL19" i="19"/>
  <c r="AK19" i="19"/>
  <c r="AG19" i="19"/>
  <c r="AF19" i="19"/>
  <c r="AM18" i="19"/>
  <c r="AL18" i="19"/>
  <c r="AK18" i="19"/>
  <c r="AG18" i="19"/>
  <c r="AF18" i="19"/>
  <c r="AM17" i="19"/>
  <c r="AL17" i="19"/>
  <c r="AK17" i="19"/>
  <c r="AG17" i="19"/>
  <c r="AF17" i="19"/>
  <c r="AM16" i="19"/>
  <c r="AG16" i="19"/>
  <c r="AF16" i="19"/>
  <c r="AM15" i="19"/>
  <c r="AL15" i="19"/>
  <c r="AG15" i="19"/>
  <c r="AF15" i="19"/>
  <c r="AK14" i="19"/>
  <c r="AG14" i="19"/>
  <c r="AM14" i="19" s="1"/>
  <c r="AF14" i="19"/>
  <c r="AL14" i="19" s="1"/>
  <c r="AM13" i="19"/>
  <c r="B4" i="28" s="1"/>
  <c r="AK13" i="19"/>
  <c r="AG13" i="19"/>
  <c r="AF13" i="19"/>
  <c r="AL13" i="19" s="1"/>
  <c r="AM12" i="19"/>
  <c r="AL12" i="19"/>
  <c r="AK12" i="19"/>
  <c r="AG12" i="19"/>
  <c r="AF12" i="19"/>
  <c r="AM11" i="19"/>
  <c r="AL11" i="19"/>
  <c r="AK11" i="19"/>
  <c r="AG11" i="19"/>
  <c r="AF11" i="19"/>
  <c r="AM10" i="19"/>
  <c r="AG10" i="19"/>
  <c r="AF10" i="19"/>
  <c r="AM9" i="19"/>
  <c r="AG9" i="19"/>
  <c r="AF9" i="19"/>
  <c r="AM8" i="19"/>
  <c r="AL8" i="19"/>
  <c r="AK8" i="19"/>
  <c r="AG8" i="19"/>
  <c r="AF8" i="19"/>
  <c r="AM7" i="19"/>
  <c r="AL7" i="19"/>
  <c r="AK7" i="19"/>
  <c r="AG7" i="19"/>
  <c r="AF7" i="19"/>
  <c r="AM6" i="19"/>
  <c r="AL6" i="19"/>
  <c r="AK6" i="19"/>
  <c r="AG6" i="19"/>
  <c r="AF6" i="19"/>
  <c r="AM5" i="19"/>
  <c r="AL5" i="19"/>
  <c r="AK5" i="19"/>
  <c r="AG5" i="19"/>
  <c r="AF5" i="19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K34" i="10"/>
  <c r="J34" i="10"/>
  <c r="I34" i="10"/>
  <c r="H34" i="10"/>
  <c r="G34" i="10"/>
  <c r="F34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K3" i="10"/>
  <c r="J3" i="10"/>
  <c r="I3" i="10"/>
  <c r="H3" i="10"/>
  <c r="G3" i="10"/>
  <c r="F3" i="10"/>
  <c r="E3" i="10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E128" i="9"/>
  <c r="E127" i="9"/>
  <c r="E126" i="9"/>
  <c r="E125" i="9"/>
  <c r="E124" i="9"/>
  <c r="E123" i="9"/>
  <c r="E122" i="9"/>
  <c r="E121" i="9"/>
  <c r="E120" i="9"/>
  <c r="E119" i="9"/>
  <c r="S118" i="9"/>
  <c r="E118" i="9"/>
  <c r="S117" i="9"/>
  <c r="E117" i="9"/>
  <c r="S116" i="9"/>
  <c r="E116" i="9"/>
  <c r="S115" i="9"/>
  <c r="E115" i="9"/>
  <c r="S114" i="9"/>
  <c r="E114" i="9"/>
  <c r="S113" i="9"/>
  <c r="E113" i="9"/>
  <c r="S112" i="9"/>
  <c r="E112" i="9"/>
  <c r="S111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T88" i="9"/>
  <c r="S88" i="9"/>
  <c r="R88" i="9"/>
  <c r="Q88" i="9"/>
  <c r="P88" i="9"/>
  <c r="O88" i="9"/>
  <c r="N88" i="9"/>
  <c r="M88" i="9"/>
  <c r="L88" i="9"/>
  <c r="K88" i="9"/>
  <c r="J88" i="9"/>
  <c r="I88" i="9"/>
  <c r="F88" i="9"/>
  <c r="T87" i="9"/>
  <c r="S87" i="9"/>
  <c r="R87" i="9"/>
  <c r="Q87" i="9"/>
  <c r="P87" i="9"/>
  <c r="O87" i="9"/>
  <c r="N87" i="9"/>
  <c r="M87" i="9"/>
  <c r="L87" i="9"/>
  <c r="K87" i="9"/>
  <c r="J87" i="9"/>
  <c r="I87" i="9"/>
  <c r="F87" i="9"/>
  <c r="T86" i="9"/>
  <c r="S86" i="9"/>
  <c r="R86" i="9"/>
  <c r="Q86" i="9"/>
  <c r="P86" i="9"/>
  <c r="O86" i="9"/>
  <c r="N86" i="9"/>
  <c r="M86" i="9"/>
  <c r="L86" i="9"/>
  <c r="K86" i="9"/>
  <c r="J86" i="9"/>
  <c r="I86" i="9"/>
  <c r="F86" i="9"/>
  <c r="T85" i="9"/>
  <c r="S85" i="9"/>
  <c r="R85" i="9"/>
  <c r="Q85" i="9"/>
  <c r="P85" i="9"/>
  <c r="O85" i="9"/>
  <c r="N85" i="9"/>
  <c r="M85" i="9"/>
  <c r="L85" i="9"/>
  <c r="K85" i="9"/>
  <c r="J85" i="9"/>
  <c r="I85" i="9"/>
  <c r="F85" i="9"/>
  <c r="T84" i="9"/>
  <c r="S84" i="9"/>
  <c r="R84" i="9"/>
  <c r="Q84" i="9"/>
  <c r="P84" i="9"/>
  <c r="O84" i="9"/>
  <c r="N84" i="9"/>
  <c r="M84" i="9"/>
  <c r="L84" i="9"/>
  <c r="K84" i="9"/>
  <c r="J84" i="9"/>
  <c r="I84" i="9"/>
  <c r="F84" i="9"/>
  <c r="T83" i="9"/>
  <c r="S83" i="9"/>
  <c r="R83" i="9"/>
  <c r="Q83" i="9"/>
  <c r="P83" i="9"/>
  <c r="O83" i="9"/>
  <c r="N83" i="9"/>
  <c r="M83" i="9"/>
  <c r="L83" i="9"/>
  <c r="K83" i="9"/>
  <c r="J83" i="9"/>
  <c r="I83" i="9"/>
  <c r="F83" i="9"/>
  <c r="T82" i="9"/>
  <c r="S82" i="9"/>
  <c r="R82" i="9"/>
  <c r="Q82" i="9"/>
  <c r="P82" i="9"/>
  <c r="O82" i="9"/>
  <c r="N82" i="9"/>
  <c r="M82" i="9"/>
  <c r="L82" i="9"/>
  <c r="K82" i="9"/>
  <c r="J82" i="9"/>
  <c r="I82" i="9"/>
  <c r="F82" i="9"/>
  <c r="T81" i="9"/>
  <c r="S81" i="9"/>
  <c r="R81" i="9"/>
  <c r="Q81" i="9"/>
  <c r="P81" i="9"/>
  <c r="O81" i="9"/>
  <c r="N81" i="9"/>
  <c r="M81" i="9"/>
  <c r="L81" i="9"/>
  <c r="K81" i="9"/>
  <c r="J81" i="9"/>
  <c r="I81" i="9"/>
  <c r="F81" i="9"/>
  <c r="E80" i="9"/>
  <c r="E79" i="9"/>
  <c r="T78" i="9"/>
  <c r="T56" i="9" s="1"/>
  <c r="S78" i="9"/>
  <c r="R78" i="9"/>
  <c r="Q78" i="9"/>
  <c r="P78" i="9"/>
  <c r="O78" i="9"/>
  <c r="N78" i="9"/>
  <c r="M78" i="9"/>
  <c r="L78" i="9"/>
  <c r="K78" i="9"/>
  <c r="J78" i="9"/>
  <c r="I78" i="9"/>
  <c r="F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S56" i="9"/>
  <c r="R56" i="9"/>
  <c r="Q56" i="9"/>
  <c r="P56" i="9"/>
  <c r="O56" i="9"/>
  <c r="N56" i="9"/>
  <c r="M56" i="9"/>
  <c r="L56" i="9"/>
  <c r="K56" i="9"/>
  <c r="J56" i="9"/>
  <c r="I56" i="9"/>
  <c r="F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E35" i="9"/>
  <c r="E34" i="9"/>
  <c r="E33" i="9"/>
  <c r="E32" i="9"/>
  <c r="E31" i="9"/>
  <c r="E30" i="9"/>
  <c r="E29" i="9"/>
  <c r="T28" i="9"/>
  <c r="S28" i="9"/>
  <c r="R28" i="9"/>
  <c r="Q28" i="9"/>
  <c r="P28" i="9"/>
  <c r="O28" i="9"/>
  <c r="N28" i="9"/>
  <c r="M28" i="9"/>
  <c r="L28" i="9"/>
  <c r="K28" i="9"/>
  <c r="J28" i="9"/>
  <c r="I28" i="9"/>
  <c r="F28" i="9"/>
  <c r="T27" i="9"/>
  <c r="S27" i="9"/>
  <c r="R27" i="9"/>
  <c r="Q27" i="9"/>
  <c r="P27" i="9"/>
  <c r="O27" i="9"/>
  <c r="N27" i="9"/>
  <c r="M27" i="9"/>
  <c r="L27" i="9"/>
  <c r="K27" i="9"/>
  <c r="J27" i="9"/>
  <c r="I27" i="9"/>
  <c r="F27" i="9"/>
  <c r="T26" i="9"/>
  <c r="S26" i="9"/>
  <c r="R26" i="9"/>
  <c r="Q26" i="9"/>
  <c r="P26" i="9"/>
  <c r="O26" i="9"/>
  <c r="N26" i="9"/>
  <c r="M26" i="9"/>
  <c r="L26" i="9"/>
  <c r="K26" i="9"/>
  <c r="J26" i="9"/>
  <c r="I26" i="9"/>
  <c r="F26" i="9"/>
  <c r="T25" i="9"/>
  <c r="S25" i="9"/>
  <c r="R25" i="9"/>
  <c r="Q25" i="9"/>
  <c r="P25" i="9"/>
  <c r="O25" i="9"/>
  <c r="N25" i="9"/>
  <c r="M25" i="9"/>
  <c r="L25" i="9"/>
  <c r="K25" i="9"/>
  <c r="J25" i="9"/>
  <c r="I25" i="9"/>
  <c r="F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S5" i="9"/>
  <c r="O5" i="9"/>
  <c r="M5" i="9"/>
  <c r="L5" i="9"/>
  <c r="K5" i="9"/>
  <c r="I5" i="9"/>
  <c r="E5" i="9"/>
  <c r="T4" i="9"/>
  <c r="S4" i="9"/>
  <c r="R4" i="9"/>
  <c r="Q4" i="9"/>
  <c r="P4" i="9"/>
  <c r="O4" i="9"/>
  <c r="N4" i="9"/>
  <c r="M4" i="9"/>
  <c r="L4" i="9"/>
  <c r="K4" i="9"/>
  <c r="J4" i="9"/>
  <c r="I4" i="9"/>
  <c r="H4" i="9"/>
  <c r="R7" i="20" s="1"/>
  <c r="G4" i="9"/>
  <c r="F4" i="9"/>
  <c r="E4" i="9"/>
  <c r="T3" i="9"/>
  <c r="S3" i="9"/>
  <c r="R3" i="9"/>
  <c r="Q3" i="9"/>
  <c r="P3" i="9"/>
  <c r="O3" i="9"/>
  <c r="N3" i="9"/>
  <c r="M3" i="9"/>
  <c r="L3" i="9"/>
  <c r="K3" i="9"/>
  <c r="J3" i="9"/>
  <c r="I3" i="9"/>
  <c r="F3" i="9"/>
  <c r="E3" i="18"/>
  <c r="E25" i="17"/>
  <c r="E4" i="17"/>
  <c r="E3" i="17"/>
  <c r="M43" i="11"/>
  <c r="L43" i="11"/>
  <c r="K43" i="11"/>
  <c r="J43" i="11"/>
  <c r="I43" i="11"/>
  <c r="H43" i="11"/>
  <c r="G43" i="11"/>
  <c r="F43" i="11"/>
  <c r="E43" i="11"/>
  <c r="D43" i="11"/>
  <c r="C43" i="11"/>
  <c r="M42" i="11"/>
  <c r="L42" i="11"/>
  <c r="K42" i="11"/>
  <c r="J42" i="11"/>
  <c r="I42" i="11"/>
  <c r="H42" i="11"/>
  <c r="G42" i="11"/>
  <c r="F42" i="11"/>
  <c r="E42" i="11"/>
  <c r="D42" i="11"/>
  <c r="C42" i="11"/>
  <c r="M41" i="11"/>
  <c r="L41" i="11"/>
  <c r="K41" i="11"/>
  <c r="J41" i="11"/>
  <c r="I41" i="11"/>
  <c r="H41" i="11"/>
  <c r="G41" i="11"/>
  <c r="F41" i="11"/>
  <c r="E41" i="11"/>
  <c r="D41" i="11"/>
  <c r="C41" i="11"/>
  <c r="M40" i="11"/>
  <c r="L40" i="11"/>
  <c r="K40" i="11"/>
  <c r="J40" i="11"/>
  <c r="I40" i="11"/>
  <c r="H40" i="11"/>
  <c r="G40" i="11"/>
  <c r="F40" i="11"/>
  <c r="E40" i="11"/>
  <c r="D40" i="11"/>
  <c r="C40" i="11"/>
  <c r="E39" i="11"/>
  <c r="D39" i="11"/>
  <c r="M38" i="11"/>
  <c r="L38" i="11"/>
  <c r="K38" i="11"/>
  <c r="J38" i="11"/>
  <c r="I38" i="11"/>
  <c r="H38" i="11"/>
  <c r="G38" i="11"/>
  <c r="M37" i="11"/>
  <c r="L37" i="11"/>
  <c r="K37" i="11"/>
  <c r="J37" i="11"/>
  <c r="I37" i="11"/>
  <c r="H37" i="11"/>
  <c r="G37" i="11"/>
  <c r="F37" i="11"/>
  <c r="E37" i="11"/>
  <c r="D37" i="11"/>
  <c r="C37" i="11"/>
  <c r="M36" i="11"/>
  <c r="L36" i="11"/>
  <c r="K36" i="11"/>
  <c r="J36" i="11"/>
  <c r="I36" i="11"/>
  <c r="H36" i="11"/>
  <c r="G36" i="11"/>
  <c r="F36" i="11"/>
  <c r="E36" i="11"/>
  <c r="M28" i="11"/>
  <c r="L28" i="11"/>
  <c r="K28" i="11"/>
  <c r="J28" i="11"/>
  <c r="I28" i="11"/>
  <c r="H28" i="11"/>
  <c r="G28" i="11"/>
  <c r="F28" i="11"/>
  <c r="E28" i="11"/>
  <c r="D28" i="11"/>
  <c r="C28" i="11"/>
  <c r="M27" i="11"/>
  <c r="L27" i="11"/>
  <c r="K27" i="11"/>
  <c r="J27" i="11"/>
  <c r="I27" i="11"/>
  <c r="H27" i="11"/>
  <c r="G27" i="11"/>
  <c r="F27" i="11"/>
  <c r="E27" i="11"/>
  <c r="D27" i="11"/>
  <c r="C27" i="11"/>
  <c r="M25" i="11"/>
  <c r="L25" i="11"/>
  <c r="K25" i="11"/>
  <c r="J25" i="11"/>
  <c r="I25" i="11"/>
  <c r="H25" i="11"/>
  <c r="G25" i="11"/>
  <c r="F25" i="11"/>
  <c r="E25" i="11"/>
  <c r="D25" i="11"/>
  <c r="C25" i="11"/>
  <c r="M23" i="11"/>
  <c r="L23" i="11"/>
  <c r="K23" i="11"/>
  <c r="J23" i="11"/>
  <c r="I23" i="11"/>
  <c r="H23" i="11"/>
  <c r="G23" i="11"/>
  <c r="F23" i="11"/>
  <c r="E23" i="11"/>
  <c r="D23" i="11"/>
  <c r="C23" i="11"/>
  <c r="M14" i="11"/>
  <c r="L14" i="11"/>
  <c r="K14" i="11"/>
  <c r="J14" i="11"/>
  <c r="I14" i="11"/>
  <c r="H14" i="11"/>
  <c r="G14" i="11"/>
  <c r="F14" i="11"/>
  <c r="E14" i="11"/>
  <c r="D14" i="11"/>
  <c r="C14" i="11"/>
  <c r="M13" i="11"/>
  <c r="L13" i="11"/>
  <c r="K13" i="11"/>
  <c r="J13" i="11"/>
  <c r="I13" i="11"/>
  <c r="H13" i="11"/>
  <c r="G13" i="11"/>
  <c r="F13" i="11"/>
  <c r="E13" i="11"/>
  <c r="D13" i="11"/>
  <c r="C13" i="11"/>
  <c r="M12" i="11"/>
  <c r="L12" i="11"/>
  <c r="K12" i="11"/>
  <c r="J12" i="11"/>
  <c r="I12" i="11"/>
  <c r="H12" i="11"/>
  <c r="G12" i="11"/>
  <c r="F12" i="11"/>
  <c r="E12" i="11"/>
  <c r="D12" i="11"/>
  <c r="C12" i="11"/>
  <c r="M11" i="11"/>
  <c r="L11" i="11"/>
  <c r="K11" i="11"/>
  <c r="J11" i="11"/>
  <c r="I11" i="11"/>
  <c r="H11" i="11"/>
  <c r="G11" i="11"/>
  <c r="F11" i="11"/>
  <c r="E11" i="11"/>
  <c r="D11" i="11"/>
  <c r="C11" i="11"/>
  <c r="E10" i="11"/>
  <c r="D10" i="11"/>
  <c r="M9" i="11"/>
  <c r="L9" i="11"/>
  <c r="K9" i="11"/>
  <c r="J9" i="11"/>
  <c r="I9" i="11"/>
  <c r="H9" i="11"/>
  <c r="G9" i="11"/>
  <c r="M8" i="11"/>
  <c r="L8" i="11"/>
  <c r="K8" i="11"/>
  <c r="J8" i="11"/>
  <c r="I8" i="11"/>
  <c r="H8" i="11"/>
  <c r="G8" i="11"/>
  <c r="F8" i="11"/>
  <c r="E8" i="11"/>
  <c r="D8" i="11"/>
  <c r="C8" i="11"/>
  <c r="M7" i="11"/>
  <c r="L7" i="11"/>
  <c r="K7" i="11"/>
  <c r="J7" i="11"/>
  <c r="I7" i="11"/>
  <c r="H7" i="11"/>
  <c r="G7" i="11"/>
  <c r="F7" i="11"/>
  <c r="E7" i="11"/>
  <c r="D7" i="11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F136" i="3"/>
  <c r="E136" i="3"/>
  <c r="D136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F135" i="3"/>
  <c r="E135" i="3"/>
  <c r="D135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F134" i="3"/>
  <c r="E134" i="3"/>
  <c r="D134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F133" i="3"/>
  <c r="E133" i="3"/>
  <c r="D133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F132" i="3"/>
  <c r="E132" i="3"/>
  <c r="D132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F131" i="3"/>
  <c r="E131" i="3"/>
  <c r="D131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F130" i="3"/>
  <c r="E130" i="3"/>
  <c r="D130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F129" i="3"/>
  <c r="E129" i="3"/>
  <c r="D129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F128" i="3"/>
  <c r="E128" i="3"/>
  <c r="D128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S126" i="3"/>
  <c r="AR126" i="3"/>
  <c r="AP126" i="3"/>
  <c r="AO126" i="3"/>
  <c r="AM126" i="3"/>
  <c r="AL126" i="3"/>
  <c r="AJ126" i="3"/>
  <c r="AI126" i="3"/>
  <c r="AG126" i="3"/>
  <c r="AF126" i="3"/>
  <c r="AD126" i="3"/>
  <c r="AC126" i="3"/>
  <c r="AA126" i="3"/>
  <c r="Z126" i="3"/>
  <c r="X126" i="3"/>
  <c r="W126" i="3"/>
  <c r="U126" i="3"/>
  <c r="T126" i="3"/>
  <c r="R126" i="3"/>
  <c r="Q126" i="3"/>
  <c r="O126" i="3"/>
  <c r="N126" i="3"/>
  <c r="L126" i="3"/>
  <c r="K126" i="3"/>
  <c r="I126" i="3"/>
  <c r="H126" i="3"/>
  <c r="G126" i="3"/>
  <c r="F126" i="3"/>
  <c r="E126" i="3"/>
  <c r="D126" i="3"/>
  <c r="AS125" i="3"/>
  <c r="AR125" i="3"/>
  <c r="AP125" i="3"/>
  <c r="AO125" i="3"/>
  <c r="AM125" i="3"/>
  <c r="AL125" i="3"/>
  <c r="AJ125" i="3"/>
  <c r="AI125" i="3"/>
  <c r="AG125" i="3"/>
  <c r="AF125" i="3"/>
  <c r="AD125" i="3"/>
  <c r="AC125" i="3"/>
  <c r="AA125" i="3"/>
  <c r="Z125" i="3"/>
  <c r="X125" i="3"/>
  <c r="W125" i="3"/>
  <c r="U125" i="3"/>
  <c r="T125" i="3"/>
  <c r="R125" i="3"/>
  <c r="Q125" i="3"/>
  <c r="O125" i="3"/>
  <c r="N125" i="3"/>
  <c r="L125" i="3"/>
  <c r="K125" i="3"/>
  <c r="I125" i="3"/>
  <c r="H125" i="3"/>
  <c r="G125" i="3"/>
  <c r="F125" i="3"/>
  <c r="E125" i="3"/>
  <c r="D125" i="3"/>
  <c r="AS124" i="3"/>
  <c r="AR124" i="3"/>
  <c r="AP124" i="3"/>
  <c r="AO124" i="3"/>
  <c r="AM124" i="3"/>
  <c r="AL124" i="3"/>
  <c r="AJ124" i="3"/>
  <c r="AI124" i="3"/>
  <c r="AG124" i="3"/>
  <c r="AF124" i="3"/>
  <c r="AD124" i="3"/>
  <c r="AC124" i="3"/>
  <c r="AA124" i="3"/>
  <c r="Z124" i="3"/>
  <c r="X124" i="3"/>
  <c r="W124" i="3"/>
  <c r="U124" i="3"/>
  <c r="T124" i="3"/>
  <c r="R124" i="3"/>
  <c r="Q124" i="3"/>
  <c r="O124" i="3"/>
  <c r="N124" i="3"/>
  <c r="L124" i="3"/>
  <c r="K124" i="3"/>
  <c r="I124" i="3"/>
  <c r="H124" i="3"/>
  <c r="G124" i="3"/>
  <c r="F124" i="3"/>
  <c r="E124" i="3"/>
  <c r="D124" i="3"/>
  <c r="AS123" i="3"/>
  <c r="AR123" i="3"/>
  <c r="AP123" i="3"/>
  <c r="AO123" i="3"/>
  <c r="AM123" i="3"/>
  <c r="AL123" i="3"/>
  <c r="AJ123" i="3"/>
  <c r="AI123" i="3"/>
  <c r="AG123" i="3"/>
  <c r="AF123" i="3"/>
  <c r="AD123" i="3"/>
  <c r="AC123" i="3"/>
  <c r="AA123" i="3"/>
  <c r="Z123" i="3"/>
  <c r="X123" i="3"/>
  <c r="W123" i="3"/>
  <c r="U123" i="3"/>
  <c r="T123" i="3"/>
  <c r="R123" i="3"/>
  <c r="Q123" i="3"/>
  <c r="O123" i="3"/>
  <c r="N123" i="3"/>
  <c r="L123" i="3"/>
  <c r="K123" i="3"/>
  <c r="I123" i="3"/>
  <c r="H123" i="3"/>
  <c r="G123" i="3"/>
  <c r="F123" i="3"/>
  <c r="E123" i="3"/>
  <c r="D123" i="3"/>
  <c r="AS122" i="3"/>
  <c r="AR122" i="3"/>
  <c r="AP122" i="3"/>
  <c r="AO122" i="3"/>
  <c r="AM122" i="3"/>
  <c r="AL122" i="3"/>
  <c r="AJ122" i="3"/>
  <c r="AI122" i="3"/>
  <c r="AG122" i="3"/>
  <c r="AF122" i="3"/>
  <c r="AD122" i="3"/>
  <c r="AC122" i="3"/>
  <c r="AA122" i="3"/>
  <c r="Z122" i="3"/>
  <c r="X122" i="3"/>
  <c r="W122" i="3"/>
  <c r="U122" i="3"/>
  <c r="T122" i="3"/>
  <c r="R122" i="3"/>
  <c r="Q122" i="3"/>
  <c r="O122" i="3"/>
  <c r="N122" i="3"/>
  <c r="L122" i="3"/>
  <c r="K122" i="3"/>
  <c r="I122" i="3"/>
  <c r="H122" i="3"/>
  <c r="G122" i="3"/>
  <c r="F122" i="3"/>
  <c r="E122" i="3"/>
  <c r="D122" i="3"/>
  <c r="AS121" i="3"/>
  <c r="AR121" i="3"/>
  <c r="AP121" i="3"/>
  <c r="AO121" i="3"/>
  <c r="AM121" i="3"/>
  <c r="AL121" i="3"/>
  <c r="AJ121" i="3"/>
  <c r="AI121" i="3"/>
  <c r="AG121" i="3"/>
  <c r="AF121" i="3"/>
  <c r="AD121" i="3"/>
  <c r="AC121" i="3"/>
  <c r="AA121" i="3"/>
  <c r="Z121" i="3"/>
  <c r="X121" i="3"/>
  <c r="W121" i="3"/>
  <c r="U121" i="3"/>
  <c r="T121" i="3"/>
  <c r="R121" i="3"/>
  <c r="Q121" i="3"/>
  <c r="O121" i="3"/>
  <c r="N121" i="3"/>
  <c r="L121" i="3"/>
  <c r="K121" i="3"/>
  <c r="I121" i="3"/>
  <c r="H121" i="3"/>
  <c r="G121" i="3"/>
  <c r="F121" i="3"/>
  <c r="E121" i="3"/>
  <c r="D121" i="3"/>
  <c r="AS120" i="3"/>
  <c r="AR120" i="3"/>
  <c r="AP120" i="3"/>
  <c r="AO120" i="3"/>
  <c r="AM120" i="3"/>
  <c r="AL120" i="3"/>
  <c r="AJ120" i="3"/>
  <c r="AI120" i="3"/>
  <c r="AG120" i="3"/>
  <c r="AF120" i="3"/>
  <c r="AD120" i="3"/>
  <c r="AC120" i="3"/>
  <c r="AA120" i="3"/>
  <c r="Z120" i="3"/>
  <c r="X120" i="3"/>
  <c r="W120" i="3"/>
  <c r="U120" i="3"/>
  <c r="T120" i="3"/>
  <c r="R120" i="3"/>
  <c r="Q120" i="3"/>
  <c r="O120" i="3"/>
  <c r="N120" i="3"/>
  <c r="L120" i="3"/>
  <c r="K120" i="3"/>
  <c r="I120" i="3"/>
  <c r="H120" i="3"/>
  <c r="G120" i="3"/>
  <c r="F120" i="3"/>
  <c r="E120" i="3"/>
  <c r="D120" i="3"/>
  <c r="AS119" i="3"/>
  <c r="AR119" i="3"/>
  <c r="AP119" i="3"/>
  <c r="AO119" i="3"/>
  <c r="AM119" i="3"/>
  <c r="AL119" i="3"/>
  <c r="AJ119" i="3"/>
  <c r="AI119" i="3"/>
  <c r="AG119" i="3"/>
  <c r="AF119" i="3"/>
  <c r="AD119" i="3"/>
  <c r="AC119" i="3"/>
  <c r="AA119" i="3"/>
  <c r="Z119" i="3"/>
  <c r="X119" i="3"/>
  <c r="W119" i="3"/>
  <c r="U119" i="3"/>
  <c r="T119" i="3"/>
  <c r="R119" i="3"/>
  <c r="Q119" i="3"/>
  <c r="O119" i="3"/>
  <c r="N119" i="3"/>
  <c r="L119" i="3"/>
  <c r="K119" i="3"/>
  <c r="I119" i="3"/>
  <c r="H119" i="3"/>
  <c r="G119" i="3"/>
  <c r="F119" i="3"/>
  <c r="E119" i="3"/>
  <c r="D119" i="3"/>
  <c r="AS118" i="3"/>
  <c r="AR118" i="3"/>
  <c r="AP118" i="3"/>
  <c r="AO118" i="3"/>
  <c r="AM118" i="3"/>
  <c r="AL118" i="3"/>
  <c r="AJ118" i="3"/>
  <c r="AI118" i="3"/>
  <c r="AG118" i="3"/>
  <c r="AF118" i="3"/>
  <c r="AD118" i="3"/>
  <c r="AC118" i="3"/>
  <c r="AA118" i="3"/>
  <c r="Z118" i="3"/>
  <c r="X118" i="3"/>
  <c r="W118" i="3"/>
  <c r="U118" i="3"/>
  <c r="T118" i="3"/>
  <c r="R118" i="3"/>
  <c r="Q118" i="3"/>
  <c r="O118" i="3"/>
  <c r="N118" i="3"/>
  <c r="L118" i="3"/>
  <c r="K118" i="3"/>
  <c r="I118" i="3"/>
  <c r="H118" i="3"/>
  <c r="G118" i="3"/>
  <c r="F118" i="3"/>
  <c r="E118" i="3"/>
  <c r="D118" i="3"/>
  <c r="AS117" i="3"/>
  <c r="AR117" i="3"/>
  <c r="AP117" i="3"/>
  <c r="AO117" i="3"/>
  <c r="AM117" i="3"/>
  <c r="AL117" i="3"/>
  <c r="AJ117" i="3"/>
  <c r="AI117" i="3"/>
  <c r="AG117" i="3"/>
  <c r="AF117" i="3"/>
  <c r="AD117" i="3"/>
  <c r="AC117" i="3"/>
  <c r="AA117" i="3"/>
  <c r="Z117" i="3"/>
  <c r="X117" i="3"/>
  <c r="W117" i="3"/>
  <c r="U117" i="3"/>
  <c r="T117" i="3"/>
  <c r="R117" i="3"/>
  <c r="Q117" i="3"/>
  <c r="O117" i="3"/>
  <c r="N117" i="3"/>
  <c r="L117" i="3"/>
  <c r="K117" i="3"/>
  <c r="I117" i="3"/>
  <c r="H117" i="3"/>
  <c r="G117" i="3"/>
  <c r="F117" i="3"/>
  <c r="E117" i="3"/>
  <c r="D117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E106" i="3" s="1"/>
  <c r="R13" i="4" s="1"/>
  <c r="G106" i="3"/>
  <c r="F106" i="3"/>
  <c r="D106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F105" i="3" s="1"/>
  <c r="H105" i="3"/>
  <c r="E105" i="3" s="1"/>
  <c r="R12" i="4" s="1"/>
  <c r="G105" i="3"/>
  <c r="D105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H104" i="3"/>
  <c r="I104" i="3" s="1"/>
  <c r="F104" i="3" s="1"/>
  <c r="G104" i="3"/>
  <c r="E104" i="3"/>
  <c r="D104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H103" i="3"/>
  <c r="I103" i="3" s="1"/>
  <c r="F103" i="3" s="1"/>
  <c r="G103" i="3"/>
  <c r="E103" i="3"/>
  <c r="R10" i="4" s="1"/>
  <c r="D103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E102" i="3" s="1"/>
  <c r="R9" i="4" s="1"/>
  <c r="G102" i="3"/>
  <c r="F102" i="3"/>
  <c r="D102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F101" i="3" s="1"/>
  <c r="H101" i="3"/>
  <c r="E101" i="3" s="1"/>
  <c r="R8" i="4" s="1"/>
  <c r="G101" i="3"/>
  <c r="D101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H100" i="3"/>
  <c r="I100" i="3" s="1"/>
  <c r="F100" i="3" s="1"/>
  <c r="G100" i="3"/>
  <c r="E100" i="3"/>
  <c r="D100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H99" i="3"/>
  <c r="I99" i="3" s="1"/>
  <c r="G99" i="3"/>
  <c r="E99" i="3"/>
  <c r="R6" i="4" s="1"/>
  <c r="D99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S75" i="3"/>
  <c r="AP75" i="3"/>
  <c r="AM75" i="3"/>
  <c r="AJ75" i="3"/>
  <c r="AG75" i="3"/>
  <c r="AD75" i="3"/>
  <c r="AA75" i="3"/>
  <c r="X75" i="3"/>
  <c r="U75" i="3"/>
  <c r="R75" i="3"/>
  <c r="O75" i="3"/>
  <c r="L75" i="3"/>
  <c r="I75" i="3"/>
  <c r="F75" i="3"/>
  <c r="E75" i="3"/>
  <c r="D75" i="3"/>
  <c r="AS74" i="3"/>
  <c r="AP74" i="3"/>
  <c r="AM74" i="3"/>
  <c r="AJ74" i="3"/>
  <c r="AG74" i="3"/>
  <c r="AD74" i="3"/>
  <c r="AA74" i="3"/>
  <c r="X74" i="3"/>
  <c r="U74" i="3"/>
  <c r="R74" i="3"/>
  <c r="O74" i="3"/>
  <c r="L74" i="3"/>
  <c r="I74" i="3"/>
  <c r="F74" i="3"/>
  <c r="E74" i="3"/>
  <c r="D74" i="3"/>
  <c r="AS73" i="3"/>
  <c r="AP73" i="3"/>
  <c r="AM73" i="3"/>
  <c r="AJ73" i="3"/>
  <c r="AG73" i="3"/>
  <c r="AD73" i="3"/>
  <c r="AA73" i="3"/>
  <c r="X73" i="3"/>
  <c r="U73" i="3"/>
  <c r="R73" i="3"/>
  <c r="O73" i="3"/>
  <c r="L73" i="3"/>
  <c r="I73" i="3"/>
  <c r="F73" i="3"/>
  <c r="E73" i="3"/>
  <c r="D73" i="3"/>
  <c r="AS72" i="3"/>
  <c r="AP72" i="3"/>
  <c r="AM72" i="3"/>
  <c r="AJ72" i="3"/>
  <c r="AG72" i="3"/>
  <c r="AD72" i="3"/>
  <c r="AA72" i="3"/>
  <c r="X72" i="3"/>
  <c r="U72" i="3"/>
  <c r="R72" i="3"/>
  <c r="O72" i="3"/>
  <c r="L72" i="3"/>
  <c r="I72" i="3"/>
  <c r="F72" i="3"/>
  <c r="E72" i="3"/>
  <c r="D72" i="3"/>
  <c r="AS71" i="3"/>
  <c r="AP71" i="3"/>
  <c r="AM71" i="3"/>
  <c r="AJ71" i="3"/>
  <c r="AG71" i="3"/>
  <c r="AD71" i="3"/>
  <c r="AA71" i="3"/>
  <c r="X71" i="3"/>
  <c r="U71" i="3"/>
  <c r="R71" i="3"/>
  <c r="O71" i="3"/>
  <c r="L71" i="3"/>
  <c r="I71" i="3"/>
  <c r="F71" i="3"/>
  <c r="E71" i="3"/>
  <c r="D71" i="3"/>
  <c r="AS70" i="3"/>
  <c r="AP70" i="3"/>
  <c r="AM70" i="3"/>
  <c r="AJ70" i="3"/>
  <c r="AG70" i="3"/>
  <c r="AD70" i="3"/>
  <c r="AA70" i="3"/>
  <c r="X70" i="3"/>
  <c r="U70" i="3"/>
  <c r="R70" i="3"/>
  <c r="O70" i="3"/>
  <c r="L70" i="3"/>
  <c r="I70" i="3"/>
  <c r="F70" i="3"/>
  <c r="E70" i="3"/>
  <c r="D70" i="3"/>
  <c r="AS69" i="3"/>
  <c r="AP69" i="3"/>
  <c r="AM69" i="3"/>
  <c r="AJ69" i="3"/>
  <c r="AG69" i="3"/>
  <c r="AD69" i="3"/>
  <c r="AA69" i="3"/>
  <c r="X69" i="3"/>
  <c r="U69" i="3"/>
  <c r="R69" i="3"/>
  <c r="O69" i="3"/>
  <c r="L69" i="3"/>
  <c r="I69" i="3"/>
  <c r="F69" i="3"/>
  <c r="E69" i="3"/>
  <c r="D69" i="3"/>
  <c r="AS68" i="3"/>
  <c r="AP68" i="3"/>
  <c r="AM68" i="3"/>
  <c r="AJ68" i="3"/>
  <c r="AG68" i="3"/>
  <c r="AD68" i="3"/>
  <c r="AA68" i="3"/>
  <c r="X68" i="3"/>
  <c r="U68" i="3"/>
  <c r="R68" i="3"/>
  <c r="O68" i="3"/>
  <c r="L68" i="3"/>
  <c r="I68" i="3"/>
  <c r="F68" i="3"/>
  <c r="E68" i="3"/>
  <c r="D68" i="3"/>
  <c r="AS67" i="3"/>
  <c r="AP67" i="3"/>
  <c r="AM67" i="3"/>
  <c r="AJ67" i="3"/>
  <c r="AG67" i="3"/>
  <c r="AD67" i="3"/>
  <c r="AA67" i="3"/>
  <c r="X67" i="3"/>
  <c r="U67" i="3"/>
  <c r="R67" i="3"/>
  <c r="O67" i="3"/>
  <c r="L67" i="3"/>
  <c r="I67" i="3"/>
  <c r="F67" i="3"/>
  <c r="E67" i="3"/>
  <c r="D67" i="3"/>
  <c r="AS66" i="3"/>
  <c r="AP66" i="3"/>
  <c r="AM66" i="3"/>
  <c r="AJ66" i="3"/>
  <c r="AG66" i="3"/>
  <c r="AD66" i="3"/>
  <c r="AA66" i="3"/>
  <c r="X66" i="3"/>
  <c r="U66" i="3"/>
  <c r="R66" i="3"/>
  <c r="O66" i="3"/>
  <c r="L66" i="3"/>
  <c r="I66" i="3"/>
  <c r="F66" i="3"/>
  <c r="E66" i="3"/>
  <c r="D66" i="3"/>
  <c r="AS65" i="3"/>
  <c r="AP65" i="3"/>
  <c r="AM65" i="3"/>
  <c r="AJ65" i="3"/>
  <c r="AG65" i="3"/>
  <c r="AD65" i="3"/>
  <c r="AA65" i="3"/>
  <c r="X65" i="3"/>
  <c r="U65" i="3"/>
  <c r="R65" i="3"/>
  <c r="O65" i="3"/>
  <c r="L65" i="3"/>
  <c r="I65" i="3"/>
  <c r="H65" i="3"/>
  <c r="G65" i="3"/>
  <c r="F65" i="3"/>
  <c r="E65" i="3"/>
  <c r="D65" i="3"/>
  <c r="AS64" i="3"/>
  <c r="AP64" i="3"/>
  <c r="AM64" i="3"/>
  <c r="AJ64" i="3"/>
  <c r="AG64" i="3"/>
  <c r="AD64" i="3"/>
  <c r="AA64" i="3"/>
  <c r="X64" i="3"/>
  <c r="U64" i="3"/>
  <c r="R64" i="3"/>
  <c r="O64" i="3"/>
  <c r="L64" i="3"/>
  <c r="I64" i="3"/>
  <c r="H64" i="3"/>
  <c r="G64" i="3"/>
  <c r="F64" i="3"/>
  <c r="E64" i="3"/>
  <c r="D64" i="3"/>
  <c r="AS63" i="3"/>
  <c r="AP63" i="3"/>
  <c r="AM63" i="3"/>
  <c r="AJ63" i="3"/>
  <c r="AG63" i="3"/>
  <c r="AD63" i="3"/>
  <c r="AA63" i="3"/>
  <c r="X63" i="3"/>
  <c r="U63" i="3"/>
  <c r="R63" i="3"/>
  <c r="O63" i="3"/>
  <c r="L63" i="3"/>
  <c r="I63" i="3"/>
  <c r="H63" i="3"/>
  <c r="G63" i="3"/>
  <c r="F63" i="3"/>
  <c r="E63" i="3"/>
  <c r="D63" i="3"/>
  <c r="AS62" i="3"/>
  <c r="AP62" i="3"/>
  <c r="AM62" i="3"/>
  <c r="AJ62" i="3"/>
  <c r="AG62" i="3"/>
  <c r="AD62" i="3"/>
  <c r="AA62" i="3"/>
  <c r="X62" i="3"/>
  <c r="U62" i="3"/>
  <c r="R62" i="3"/>
  <c r="O62" i="3"/>
  <c r="L62" i="3"/>
  <c r="I62" i="3"/>
  <c r="H62" i="3"/>
  <c r="G62" i="3"/>
  <c r="F62" i="3"/>
  <c r="E62" i="3"/>
  <c r="D62" i="3"/>
  <c r="AS61" i="3"/>
  <c r="AP61" i="3"/>
  <c r="AM61" i="3"/>
  <c r="AJ61" i="3"/>
  <c r="AG61" i="3"/>
  <c r="AD61" i="3"/>
  <c r="AA61" i="3"/>
  <c r="X61" i="3"/>
  <c r="U61" i="3"/>
  <c r="R61" i="3"/>
  <c r="O61" i="3"/>
  <c r="L61" i="3"/>
  <c r="I61" i="3"/>
  <c r="H61" i="3"/>
  <c r="G61" i="3"/>
  <c r="F61" i="3"/>
  <c r="E61" i="3"/>
  <c r="D61" i="3"/>
  <c r="AS60" i="3"/>
  <c r="AP60" i="3"/>
  <c r="AM60" i="3"/>
  <c r="AJ60" i="3"/>
  <c r="AG60" i="3"/>
  <c r="AD60" i="3"/>
  <c r="AA60" i="3"/>
  <c r="X60" i="3"/>
  <c r="U60" i="3"/>
  <c r="R60" i="3"/>
  <c r="O60" i="3"/>
  <c r="L60" i="3"/>
  <c r="I60" i="3"/>
  <c r="H60" i="3"/>
  <c r="G60" i="3"/>
  <c r="F60" i="3"/>
  <c r="E60" i="3"/>
  <c r="D60" i="3"/>
  <c r="AS59" i="3"/>
  <c r="AP59" i="3"/>
  <c r="AM59" i="3"/>
  <c r="AJ59" i="3"/>
  <c r="AG59" i="3"/>
  <c r="AD59" i="3"/>
  <c r="AA59" i="3"/>
  <c r="X59" i="3"/>
  <c r="U59" i="3"/>
  <c r="R59" i="3"/>
  <c r="O59" i="3"/>
  <c r="L59" i="3"/>
  <c r="I59" i="3"/>
  <c r="H59" i="3"/>
  <c r="G59" i="3"/>
  <c r="F59" i="3"/>
  <c r="E59" i="3"/>
  <c r="D59" i="3"/>
  <c r="AS58" i="3"/>
  <c r="AP58" i="3"/>
  <c r="AM58" i="3"/>
  <c r="AJ58" i="3"/>
  <c r="AG58" i="3"/>
  <c r="AD58" i="3"/>
  <c r="AA58" i="3"/>
  <c r="X58" i="3"/>
  <c r="U58" i="3"/>
  <c r="R58" i="3"/>
  <c r="O58" i="3"/>
  <c r="L58" i="3"/>
  <c r="I58" i="3"/>
  <c r="H58" i="3"/>
  <c r="F58" i="3"/>
  <c r="E58" i="3"/>
  <c r="D58" i="3"/>
  <c r="AS57" i="3"/>
  <c r="AP57" i="3"/>
  <c r="AM57" i="3"/>
  <c r="AJ57" i="3"/>
  <c r="AG57" i="3"/>
  <c r="AD57" i="3"/>
  <c r="AA57" i="3"/>
  <c r="X57" i="3"/>
  <c r="U57" i="3"/>
  <c r="R57" i="3"/>
  <c r="O57" i="3"/>
  <c r="L57" i="3"/>
  <c r="I57" i="3"/>
  <c r="F57" i="3"/>
  <c r="E57" i="3"/>
  <c r="D57" i="3"/>
  <c r="AT56" i="3"/>
  <c r="AS56" i="3"/>
  <c r="AP56" i="3"/>
  <c r="AM56" i="3"/>
  <c r="AJ56" i="3"/>
  <c r="AG56" i="3"/>
  <c r="AD56" i="3"/>
  <c r="AA56" i="3"/>
  <c r="X56" i="3"/>
  <c r="U56" i="3"/>
  <c r="R56" i="3"/>
  <c r="O56" i="3"/>
  <c r="L56" i="3"/>
  <c r="I56" i="3"/>
  <c r="F56" i="3"/>
  <c r="E56" i="3"/>
  <c r="D56" i="3"/>
  <c r="AS55" i="3"/>
  <c r="AP55" i="3"/>
  <c r="AM55" i="3"/>
  <c r="AJ55" i="3"/>
  <c r="AG55" i="3"/>
  <c r="AD55" i="3"/>
  <c r="AA55" i="3"/>
  <c r="X55" i="3"/>
  <c r="U55" i="3"/>
  <c r="R55" i="3"/>
  <c r="O55" i="3"/>
  <c r="L55" i="3"/>
  <c r="I55" i="3"/>
  <c r="AS54" i="3"/>
  <c r="AP54" i="3"/>
  <c r="AM54" i="3"/>
  <c r="AJ54" i="3"/>
  <c r="AG54" i="3"/>
  <c r="AD54" i="3"/>
  <c r="AA54" i="3"/>
  <c r="X54" i="3"/>
  <c r="U54" i="3"/>
  <c r="R54" i="3"/>
  <c r="O54" i="3"/>
  <c r="L54" i="3"/>
  <c r="I54" i="3"/>
  <c r="AS53" i="3"/>
  <c r="AP53" i="3"/>
  <c r="AM53" i="3"/>
  <c r="AJ53" i="3"/>
  <c r="AG53" i="3"/>
  <c r="AD53" i="3"/>
  <c r="AA53" i="3"/>
  <c r="X53" i="3"/>
  <c r="U53" i="3"/>
  <c r="R53" i="3"/>
  <c r="O53" i="3"/>
  <c r="L53" i="3"/>
  <c r="I53" i="3"/>
  <c r="AS52" i="3"/>
  <c r="AP52" i="3"/>
  <c r="AM52" i="3"/>
  <c r="AJ52" i="3"/>
  <c r="AG52" i="3"/>
  <c r="AD52" i="3"/>
  <c r="AA52" i="3"/>
  <c r="X52" i="3"/>
  <c r="U52" i="3"/>
  <c r="R52" i="3"/>
  <c r="O52" i="3"/>
  <c r="L52" i="3"/>
  <c r="I52" i="3"/>
  <c r="AS51" i="3"/>
  <c r="AP51" i="3"/>
  <c r="AM51" i="3"/>
  <c r="AJ51" i="3"/>
  <c r="AG51" i="3"/>
  <c r="AD51" i="3"/>
  <c r="AA51" i="3"/>
  <c r="X51" i="3"/>
  <c r="U51" i="3"/>
  <c r="R51" i="3"/>
  <c r="O51" i="3"/>
  <c r="L51" i="3"/>
  <c r="I51" i="3"/>
  <c r="AS50" i="3"/>
  <c r="AP50" i="3"/>
  <c r="AM50" i="3"/>
  <c r="AJ50" i="3"/>
  <c r="AG50" i="3"/>
  <c r="AD50" i="3"/>
  <c r="AA50" i="3"/>
  <c r="X50" i="3"/>
  <c r="U50" i="3"/>
  <c r="R50" i="3"/>
  <c r="O50" i="3"/>
  <c r="L50" i="3"/>
  <c r="I50" i="3"/>
  <c r="AS49" i="3"/>
  <c r="AP49" i="3"/>
  <c r="AM49" i="3"/>
  <c r="AJ49" i="3"/>
  <c r="AG49" i="3"/>
  <c r="AD49" i="3"/>
  <c r="AA49" i="3"/>
  <c r="X49" i="3"/>
  <c r="U49" i="3"/>
  <c r="R49" i="3"/>
  <c r="O49" i="3"/>
  <c r="L49" i="3"/>
  <c r="I49" i="3"/>
  <c r="AS48" i="3"/>
  <c r="AP48" i="3"/>
  <c r="AM48" i="3"/>
  <c r="AJ48" i="3"/>
  <c r="AG48" i="3"/>
  <c r="AD48" i="3"/>
  <c r="AA48" i="3"/>
  <c r="X48" i="3"/>
  <c r="U48" i="3"/>
  <c r="R48" i="3"/>
  <c r="O48" i="3"/>
  <c r="L48" i="3"/>
  <c r="I48" i="3"/>
  <c r="AS47" i="3"/>
  <c r="AP47" i="3"/>
  <c r="AM47" i="3"/>
  <c r="AJ47" i="3"/>
  <c r="AG47" i="3"/>
  <c r="AD47" i="3"/>
  <c r="AA47" i="3"/>
  <c r="X47" i="3"/>
  <c r="U47" i="3"/>
  <c r="R47" i="3"/>
  <c r="O47" i="3"/>
  <c r="L47" i="3"/>
  <c r="I47" i="3"/>
  <c r="AT46" i="3"/>
  <c r="AS46" i="3"/>
  <c r="AP46" i="3"/>
  <c r="AM46" i="3"/>
  <c r="AJ46" i="3"/>
  <c r="AG46" i="3"/>
  <c r="AD46" i="3"/>
  <c r="AA46" i="3"/>
  <c r="X46" i="3"/>
  <c r="U46" i="3"/>
  <c r="R46" i="3"/>
  <c r="O46" i="3"/>
  <c r="L46" i="3"/>
  <c r="I46" i="3"/>
  <c r="AS45" i="3"/>
  <c r="AP45" i="3"/>
  <c r="AM45" i="3"/>
  <c r="AJ45" i="3"/>
  <c r="AG45" i="3"/>
  <c r="AD45" i="3"/>
  <c r="AA45" i="3"/>
  <c r="X45" i="3"/>
  <c r="U45" i="3"/>
  <c r="R45" i="3"/>
  <c r="O45" i="3"/>
  <c r="L45" i="3"/>
  <c r="I45" i="3"/>
  <c r="AS44" i="3"/>
  <c r="AP44" i="3"/>
  <c r="AM44" i="3"/>
  <c r="AJ44" i="3"/>
  <c r="AG44" i="3"/>
  <c r="AD44" i="3"/>
  <c r="AA44" i="3"/>
  <c r="X44" i="3"/>
  <c r="U44" i="3"/>
  <c r="R44" i="3"/>
  <c r="O44" i="3"/>
  <c r="L44" i="3"/>
  <c r="I44" i="3"/>
  <c r="AS43" i="3"/>
  <c r="AP43" i="3"/>
  <c r="AM43" i="3"/>
  <c r="AJ43" i="3"/>
  <c r="AG43" i="3"/>
  <c r="AD43" i="3"/>
  <c r="AA43" i="3"/>
  <c r="X43" i="3"/>
  <c r="U43" i="3"/>
  <c r="R43" i="3"/>
  <c r="O43" i="3"/>
  <c r="L43" i="3"/>
  <c r="I43" i="3"/>
  <c r="AS42" i="3"/>
  <c r="AP42" i="3"/>
  <c r="AM42" i="3"/>
  <c r="AJ42" i="3"/>
  <c r="AG42" i="3"/>
  <c r="AD42" i="3"/>
  <c r="AA42" i="3"/>
  <c r="X42" i="3"/>
  <c r="U42" i="3"/>
  <c r="R42" i="3"/>
  <c r="O42" i="3"/>
  <c r="L42" i="3"/>
  <c r="I42" i="3"/>
  <c r="AS41" i="3"/>
  <c r="AP41" i="3"/>
  <c r="AM41" i="3"/>
  <c r="AJ41" i="3"/>
  <c r="AG41" i="3"/>
  <c r="AD41" i="3"/>
  <c r="AA41" i="3"/>
  <c r="X41" i="3"/>
  <c r="U41" i="3"/>
  <c r="R41" i="3"/>
  <c r="O41" i="3"/>
  <c r="L41" i="3"/>
  <c r="I41" i="3"/>
  <c r="AS40" i="3"/>
  <c r="AP40" i="3"/>
  <c r="AM40" i="3"/>
  <c r="AJ40" i="3"/>
  <c r="AG40" i="3"/>
  <c r="AD40" i="3"/>
  <c r="AA40" i="3"/>
  <c r="X40" i="3"/>
  <c r="U40" i="3"/>
  <c r="R40" i="3"/>
  <c r="O40" i="3"/>
  <c r="L40" i="3"/>
  <c r="I40" i="3"/>
  <c r="AS39" i="3"/>
  <c r="AP39" i="3"/>
  <c r="AM39" i="3"/>
  <c r="AJ39" i="3"/>
  <c r="AG39" i="3"/>
  <c r="AD39" i="3"/>
  <c r="AA39" i="3"/>
  <c r="X39" i="3"/>
  <c r="U39" i="3"/>
  <c r="R39" i="3"/>
  <c r="O39" i="3"/>
  <c r="L39" i="3"/>
  <c r="I39" i="3"/>
  <c r="AS38" i="3"/>
  <c r="AP38" i="3"/>
  <c r="AM38" i="3"/>
  <c r="AJ38" i="3"/>
  <c r="AG38" i="3"/>
  <c r="AD38" i="3"/>
  <c r="AA38" i="3"/>
  <c r="X38" i="3"/>
  <c r="U38" i="3"/>
  <c r="R38" i="3"/>
  <c r="O38" i="3"/>
  <c r="L38" i="3"/>
  <c r="I38" i="3"/>
  <c r="AS37" i="3"/>
  <c r="AP37" i="3"/>
  <c r="AM37" i="3"/>
  <c r="AJ37" i="3"/>
  <c r="AG37" i="3"/>
  <c r="AD37" i="3"/>
  <c r="AA37" i="3"/>
  <c r="X37" i="3"/>
  <c r="U37" i="3"/>
  <c r="R37" i="3"/>
  <c r="O37" i="3"/>
  <c r="L37" i="3"/>
  <c r="I37" i="3"/>
  <c r="AS36" i="3"/>
  <c r="AP36" i="3"/>
  <c r="AM36" i="3"/>
  <c r="AJ36" i="3"/>
  <c r="AG36" i="3"/>
  <c r="AD36" i="3"/>
  <c r="AA36" i="3"/>
  <c r="X36" i="3"/>
  <c r="U36" i="3"/>
  <c r="R36" i="3"/>
  <c r="O36" i="3"/>
  <c r="L36" i="3"/>
  <c r="I36" i="3"/>
  <c r="AS35" i="3"/>
  <c r="AP35" i="3"/>
  <c r="AM35" i="3"/>
  <c r="AJ35" i="3"/>
  <c r="AG35" i="3"/>
  <c r="AD35" i="3"/>
  <c r="AA35" i="3"/>
  <c r="X35" i="3"/>
  <c r="U35" i="3"/>
  <c r="R35" i="3"/>
  <c r="O35" i="3"/>
  <c r="L35" i="3"/>
  <c r="I35" i="3"/>
  <c r="F35" i="3" s="1"/>
  <c r="E35" i="3"/>
  <c r="D35" i="3"/>
  <c r="AS34" i="3"/>
  <c r="AP34" i="3"/>
  <c r="AM34" i="3"/>
  <c r="AJ34" i="3"/>
  <c r="AG34" i="3"/>
  <c r="AD34" i="3"/>
  <c r="AA34" i="3"/>
  <c r="X34" i="3"/>
  <c r="U34" i="3"/>
  <c r="R34" i="3"/>
  <c r="O34" i="3"/>
  <c r="L34" i="3"/>
  <c r="I34" i="3"/>
  <c r="F34" i="3" s="1"/>
  <c r="E34" i="3"/>
  <c r="D34" i="3"/>
  <c r="AS33" i="3"/>
  <c r="AP33" i="3"/>
  <c r="AM33" i="3"/>
  <c r="AJ33" i="3"/>
  <c r="AG33" i="3"/>
  <c r="AD33" i="3"/>
  <c r="AA33" i="3"/>
  <c r="X33" i="3"/>
  <c r="U33" i="3"/>
  <c r="R33" i="3"/>
  <c r="O33" i="3"/>
  <c r="L33" i="3"/>
  <c r="I33" i="3"/>
  <c r="F33" i="3" s="1"/>
  <c r="E33" i="3"/>
  <c r="D33" i="3"/>
  <c r="AS32" i="3"/>
  <c r="AP32" i="3"/>
  <c r="AM32" i="3"/>
  <c r="AJ32" i="3"/>
  <c r="AG32" i="3"/>
  <c r="AD32" i="3"/>
  <c r="AA32" i="3"/>
  <c r="X32" i="3"/>
  <c r="U32" i="3"/>
  <c r="R32" i="3"/>
  <c r="O32" i="3"/>
  <c r="L32" i="3"/>
  <c r="I32" i="3"/>
  <c r="F32" i="3" s="1"/>
  <c r="E32" i="3"/>
  <c r="D32" i="3"/>
  <c r="AS31" i="3"/>
  <c r="AP31" i="3"/>
  <c r="AM31" i="3"/>
  <c r="AJ31" i="3"/>
  <c r="AG31" i="3"/>
  <c r="AD31" i="3"/>
  <c r="AA31" i="3"/>
  <c r="X31" i="3"/>
  <c r="U31" i="3"/>
  <c r="R31" i="3"/>
  <c r="O31" i="3"/>
  <c r="L31" i="3"/>
  <c r="I31" i="3"/>
  <c r="F31" i="3" s="1"/>
  <c r="E31" i="3"/>
  <c r="D31" i="3"/>
  <c r="AS30" i="3"/>
  <c r="AP30" i="3"/>
  <c r="AM30" i="3"/>
  <c r="AJ30" i="3"/>
  <c r="AG30" i="3"/>
  <c r="AD30" i="3"/>
  <c r="AA30" i="3"/>
  <c r="X30" i="3"/>
  <c r="U30" i="3"/>
  <c r="R30" i="3"/>
  <c r="O30" i="3"/>
  <c r="L30" i="3"/>
  <c r="I30" i="3"/>
  <c r="F30" i="3" s="1"/>
  <c r="E30" i="3"/>
  <c r="D30" i="3"/>
  <c r="AS29" i="3"/>
  <c r="AP29" i="3"/>
  <c r="AM29" i="3"/>
  <c r="AJ29" i="3"/>
  <c r="AG29" i="3"/>
  <c r="AD29" i="3"/>
  <c r="AA29" i="3"/>
  <c r="X29" i="3"/>
  <c r="U29" i="3"/>
  <c r="R29" i="3"/>
  <c r="O29" i="3"/>
  <c r="L29" i="3"/>
  <c r="I29" i="3"/>
  <c r="F29" i="3" s="1"/>
  <c r="E29" i="3"/>
  <c r="D29" i="3"/>
  <c r="AS28" i="3"/>
  <c r="AP28" i="3"/>
  <c r="AM28" i="3"/>
  <c r="AJ28" i="3"/>
  <c r="AG28" i="3"/>
  <c r="AD28" i="3"/>
  <c r="AA28" i="3"/>
  <c r="X28" i="3"/>
  <c r="U28" i="3"/>
  <c r="R28" i="3"/>
  <c r="O28" i="3"/>
  <c r="L28" i="3"/>
  <c r="I28" i="3"/>
  <c r="F28" i="3" s="1"/>
  <c r="G28" i="3"/>
  <c r="E28" i="3"/>
  <c r="D28" i="3"/>
  <c r="AS27" i="3"/>
  <c r="AP27" i="3"/>
  <c r="AM27" i="3"/>
  <c r="AJ27" i="3"/>
  <c r="AG27" i="3"/>
  <c r="AD27" i="3"/>
  <c r="AA27" i="3"/>
  <c r="X27" i="3"/>
  <c r="U27" i="3"/>
  <c r="R27" i="3"/>
  <c r="O27" i="3"/>
  <c r="L27" i="3"/>
  <c r="I27" i="3"/>
  <c r="F27" i="3"/>
  <c r="E27" i="3"/>
  <c r="D27" i="3"/>
  <c r="AS26" i="3"/>
  <c r="AP26" i="3"/>
  <c r="AM26" i="3"/>
  <c r="AJ26" i="3"/>
  <c r="AG26" i="3"/>
  <c r="AD26" i="3"/>
  <c r="AA26" i="3"/>
  <c r="X26" i="3"/>
  <c r="U26" i="3"/>
  <c r="R26" i="3"/>
  <c r="O26" i="3"/>
  <c r="L26" i="3"/>
  <c r="I26" i="3"/>
  <c r="F26" i="3"/>
  <c r="E26" i="3"/>
  <c r="D26" i="3"/>
  <c r="AS25" i="3"/>
  <c r="AP25" i="3"/>
  <c r="AM25" i="3"/>
  <c r="AJ25" i="3"/>
  <c r="AG25" i="3"/>
  <c r="AD25" i="3"/>
  <c r="AA25" i="3"/>
  <c r="X25" i="3"/>
  <c r="U25" i="3"/>
  <c r="R25" i="3"/>
  <c r="O25" i="3"/>
  <c r="L25" i="3"/>
  <c r="I25" i="3"/>
  <c r="F25" i="3"/>
  <c r="E25" i="3"/>
  <c r="D25" i="3"/>
  <c r="AS24" i="3"/>
  <c r="AP24" i="3"/>
  <c r="AM24" i="3"/>
  <c r="AJ24" i="3"/>
  <c r="AG24" i="3"/>
  <c r="AD24" i="3"/>
  <c r="AA24" i="3"/>
  <c r="X24" i="3"/>
  <c r="U24" i="3"/>
  <c r="R24" i="3"/>
  <c r="O24" i="3"/>
  <c r="L24" i="3"/>
  <c r="I24" i="3"/>
  <c r="F24" i="3"/>
  <c r="E24" i="3"/>
  <c r="D24" i="3"/>
  <c r="AS23" i="3"/>
  <c r="AP23" i="3"/>
  <c r="AM23" i="3"/>
  <c r="AJ23" i="3"/>
  <c r="AG23" i="3"/>
  <c r="AD23" i="3"/>
  <c r="AA23" i="3"/>
  <c r="X23" i="3"/>
  <c r="U23" i="3"/>
  <c r="R23" i="3"/>
  <c r="O23" i="3"/>
  <c r="L23" i="3"/>
  <c r="I23" i="3"/>
  <c r="F23" i="3"/>
  <c r="E23" i="3"/>
  <c r="D23" i="3"/>
  <c r="AS22" i="3"/>
  <c r="AP22" i="3"/>
  <c r="AM22" i="3"/>
  <c r="AJ22" i="3"/>
  <c r="AG22" i="3"/>
  <c r="AD22" i="3"/>
  <c r="AA22" i="3"/>
  <c r="X22" i="3"/>
  <c r="U22" i="3"/>
  <c r="R22" i="3"/>
  <c r="O22" i="3"/>
  <c r="L22" i="3"/>
  <c r="I22" i="3"/>
  <c r="F22" i="3"/>
  <c r="E22" i="3"/>
  <c r="D22" i="3"/>
  <c r="AS21" i="3"/>
  <c r="AP21" i="3"/>
  <c r="AM21" i="3"/>
  <c r="AJ21" i="3"/>
  <c r="AG21" i="3"/>
  <c r="AD21" i="3"/>
  <c r="AA21" i="3"/>
  <c r="X21" i="3"/>
  <c r="U21" i="3"/>
  <c r="R21" i="3"/>
  <c r="O21" i="3"/>
  <c r="L21" i="3"/>
  <c r="I21" i="3"/>
  <c r="F21" i="3"/>
  <c r="E21" i="3"/>
  <c r="D21" i="3"/>
  <c r="AS20" i="3"/>
  <c r="AP20" i="3"/>
  <c r="AM20" i="3"/>
  <c r="AJ20" i="3"/>
  <c r="AG20" i="3"/>
  <c r="AD20" i="3"/>
  <c r="AA20" i="3"/>
  <c r="X20" i="3"/>
  <c r="U20" i="3"/>
  <c r="R20" i="3"/>
  <c r="O20" i="3"/>
  <c r="L20" i="3"/>
  <c r="I20" i="3"/>
  <c r="F20" i="3"/>
  <c r="E20" i="3"/>
  <c r="D20" i="3"/>
  <c r="AS19" i="3"/>
  <c r="AP19" i="3"/>
  <c r="AM19" i="3"/>
  <c r="AJ19" i="3"/>
  <c r="AG19" i="3"/>
  <c r="AD19" i="3"/>
  <c r="AA19" i="3"/>
  <c r="X19" i="3"/>
  <c r="U19" i="3"/>
  <c r="R19" i="3"/>
  <c r="O19" i="3"/>
  <c r="L19" i="3"/>
  <c r="I19" i="3"/>
  <c r="F19" i="3"/>
  <c r="E19" i="3"/>
  <c r="D19" i="3"/>
  <c r="AS18" i="3"/>
  <c r="AP18" i="3"/>
  <c r="AM18" i="3"/>
  <c r="AJ18" i="3"/>
  <c r="AG18" i="3"/>
  <c r="AD18" i="3"/>
  <c r="AA18" i="3"/>
  <c r="X18" i="3"/>
  <c r="U18" i="3"/>
  <c r="R18" i="3"/>
  <c r="O18" i="3"/>
  <c r="L18" i="3"/>
  <c r="I18" i="3"/>
  <c r="H18" i="3"/>
  <c r="G18" i="3"/>
  <c r="F18" i="3"/>
  <c r="E18" i="3"/>
  <c r="D18" i="3"/>
  <c r="AS17" i="3"/>
  <c r="AP17" i="3"/>
  <c r="AM17" i="3"/>
  <c r="AJ17" i="3"/>
  <c r="AG17" i="3"/>
  <c r="AD17" i="3"/>
  <c r="AA17" i="3"/>
  <c r="X17" i="3"/>
  <c r="U17" i="3"/>
  <c r="R17" i="3"/>
  <c r="O17" i="3"/>
  <c r="L17" i="3"/>
  <c r="I17" i="3"/>
  <c r="F17" i="3"/>
  <c r="E17" i="3"/>
  <c r="D17" i="3"/>
  <c r="AS16" i="3"/>
  <c r="AP16" i="3"/>
  <c r="AM16" i="3"/>
  <c r="AJ16" i="3"/>
  <c r="AG16" i="3"/>
  <c r="AD16" i="3"/>
  <c r="AA16" i="3"/>
  <c r="X16" i="3"/>
  <c r="U16" i="3"/>
  <c r="R16" i="3"/>
  <c r="O16" i="3"/>
  <c r="L16" i="3"/>
  <c r="I16" i="3"/>
  <c r="F16" i="3"/>
  <c r="E16" i="3"/>
  <c r="D16" i="3"/>
  <c r="AS15" i="3"/>
  <c r="AP15" i="3"/>
  <c r="AM15" i="3"/>
  <c r="AJ15" i="3"/>
  <c r="AG15" i="3"/>
  <c r="AD15" i="3"/>
  <c r="AA15" i="3"/>
  <c r="X15" i="3"/>
  <c r="U15" i="3"/>
  <c r="R15" i="3"/>
  <c r="O15" i="3"/>
  <c r="L15" i="3"/>
  <c r="I15" i="3"/>
  <c r="F15" i="3"/>
  <c r="E15" i="3"/>
  <c r="D15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E14" i="3"/>
  <c r="D14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E13" i="3"/>
  <c r="D13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E12" i="3"/>
  <c r="D12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E11" i="3"/>
  <c r="D11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E10" i="3"/>
  <c r="D10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E9" i="3"/>
  <c r="D9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H8" i="3"/>
  <c r="G8" i="3"/>
  <c r="F8" i="3"/>
  <c r="E8" i="3"/>
  <c r="D8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E7" i="3"/>
  <c r="D7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E6" i="3"/>
  <c r="D6" i="3"/>
  <c r="S15" i="6"/>
  <c r="P15" i="6"/>
  <c r="M15" i="6"/>
  <c r="D15" i="6"/>
  <c r="T14" i="6"/>
  <c r="S14" i="6"/>
  <c r="R14" i="6"/>
  <c r="Q14" i="6"/>
  <c r="P14" i="6"/>
  <c r="O14" i="6"/>
  <c r="N14" i="6"/>
  <c r="M14" i="6"/>
  <c r="L14" i="6"/>
  <c r="K14" i="6"/>
  <c r="H14" i="6"/>
  <c r="E14" i="6"/>
  <c r="D14" i="6"/>
  <c r="C14" i="6"/>
  <c r="B14" i="6"/>
  <c r="T13" i="6"/>
  <c r="S13" i="6"/>
  <c r="R13" i="6"/>
  <c r="Q13" i="6"/>
  <c r="P13" i="6"/>
  <c r="O13" i="6"/>
  <c r="M13" i="6"/>
  <c r="L13" i="6"/>
  <c r="H13" i="6"/>
  <c r="G13" i="6"/>
  <c r="F13" i="6"/>
  <c r="E13" i="6"/>
  <c r="D13" i="6"/>
  <c r="C13" i="6"/>
  <c r="B13" i="6"/>
  <c r="T12" i="6"/>
  <c r="S12" i="6"/>
  <c r="R12" i="6"/>
  <c r="Q12" i="6"/>
  <c r="P12" i="6"/>
  <c r="O12" i="6"/>
  <c r="M12" i="6"/>
  <c r="L12" i="6"/>
  <c r="H12" i="6"/>
  <c r="G12" i="6"/>
  <c r="F12" i="6"/>
  <c r="E12" i="6"/>
  <c r="D12" i="6"/>
  <c r="C12" i="6"/>
  <c r="B12" i="6"/>
  <c r="T11" i="6"/>
  <c r="S11" i="6"/>
  <c r="R11" i="6"/>
  <c r="Q11" i="6"/>
  <c r="P11" i="6"/>
  <c r="O11" i="6"/>
  <c r="M11" i="6"/>
  <c r="L11" i="6"/>
  <c r="H11" i="6"/>
  <c r="G11" i="6"/>
  <c r="F11" i="6"/>
  <c r="E11" i="6"/>
  <c r="D11" i="6"/>
  <c r="C11" i="6"/>
  <c r="B11" i="6"/>
  <c r="T10" i="6"/>
  <c r="S10" i="6"/>
  <c r="R10" i="6"/>
  <c r="Q10" i="6"/>
  <c r="P10" i="6"/>
  <c r="O10" i="6"/>
  <c r="M10" i="6"/>
  <c r="L10" i="6"/>
  <c r="H10" i="6"/>
  <c r="G10" i="6"/>
  <c r="F10" i="6"/>
  <c r="E10" i="6"/>
  <c r="D10" i="6"/>
  <c r="C10" i="6"/>
  <c r="B10" i="6"/>
  <c r="T9" i="6"/>
  <c r="S9" i="6"/>
  <c r="R9" i="6"/>
  <c r="Q9" i="6"/>
  <c r="P9" i="6"/>
  <c r="O9" i="6"/>
  <c r="M9" i="6"/>
  <c r="L9" i="6"/>
  <c r="H9" i="6"/>
  <c r="G9" i="6"/>
  <c r="F9" i="6"/>
  <c r="E9" i="6"/>
  <c r="D9" i="6"/>
  <c r="C9" i="6"/>
  <c r="B9" i="6"/>
  <c r="T8" i="6"/>
  <c r="S8" i="6"/>
  <c r="R8" i="6"/>
  <c r="Q8" i="6"/>
  <c r="P8" i="6"/>
  <c r="O8" i="6"/>
  <c r="M8" i="6"/>
  <c r="L8" i="6"/>
  <c r="H8" i="6"/>
  <c r="G8" i="6"/>
  <c r="F8" i="6"/>
  <c r="E8" i="6"/>
  <c r="D8" i="6"/>
  <c r="C8" i="6"/>
  <c r="B8" i="6"/>
  <c r="T7" i="6"/>
  <c r="S7" i="6"/>
  <c r="R7" i="6"/>
  <c r="Q7" i="6"/>
  <c r="P7" i="6"/>
  <c r="O7" i="6"/>
  <c r="M7" i="6"/>
  <c r="L7" i="6"/>
  <c r="H7" i="6"/>
  <c r="G7" i="6"/>
  <c r="F7" i="6"/>
  <c r="E7" i="6"/>
  <c r="D7" i="6"/>
  <c r="C7" i="6"/>
  <c r="B7" i="6"/>
  <c r="T6" i="6"/>
  <c r="S6" i="6"/>
  <c r="R6" i="6"/>
  <c r="Q6" i="6"/>
  <c r="P6" i="6"/>
  <c r="O6" i="6"/>
  <c r="M6" i="6"/>
  <c r="L6" i="6"/>
  <c r="H6" i="6"/>
  <c r="G6" i="6"/>
  <c r="F6" i="6"/>
  <c r="E6" i="6"/>
  <c r="D6" i="6"/>
  <c r="C6" i="6"/>
  <c r="B6" i="6"/>
  <c r="W5" i="6"/>
  <c r="T5" i="6"/>
  <c r="S5" i="6"/>
  <c r="R5" i="6"/>
  <c r="Q5" i="6"/>
  <c r="P5" i="6"/>
  <c r="O5" i="6"/>
  <c r="M5" i="6"/>
  <c r="L5" i="6"/>
  <c r="H5" i="6"/>
  <c r="G5" i="6"/>
  <c r="F5" i="6"/>
  <c r="E5" i="6"/>
  <c r="D5" i="6"/>
  <c r="C5" i="6"/>
  <c r="B5" i="6"/>
  <c r="W4" i="6"/>
  <c r="T4" i="6"/>
  <c r="S4" i="6"/>
  <c r="R4" i="6"/>
  <c r="Q4" i="6"/>
  <c r="P4" i="6"/>
  <c r="O4" i="6"/>
  <c r="M4" i="6"/>
  <c r="L4" i="6"/>
  <c r="H4" i="6"/>
  <c r="F4" i="6"/>
  <c r="E4" i="6"/>
  <c r="D4" i="6"/>
  <c r="C4" i="6"/>
  <c r="B4" i="6"/>
  <c r="V15" i="4"/>
  <c r="P15" i="4"/>
  <c r="M15" i="4"/>
  <c r="J15" i="4"/>
  <c r="G15" i="4"/>
  <c r="D15" i="4"/>
  <c r="W14" i="4"/>
  <c r="V14" i="4"/>
  <c r="U14" i="4"/>
  <c r="T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W13" i="4"/>
  <c r="V13" i="4"/>
  <c r="U13" i="4"/>
  <c r="T13" i="4"/>
  <c r="Q13" i="4"/>
  <c r="P13" i="4"/>
  <c r="O13" i="4"/>
  <c r="N13" i="4"/>
  <c r="M13" i="4"/>
  <c r="L13" i="4"/>
  <c r="K13" i="4"/>
  <c r="J13" i="4"/>
  <c r="I13" i="4"/>
  <c r="H13" i="4"/>
  <c r="G13" i="4"/>
  <c r="D13" i="4"/>
  <c r="C13" i="4"/>
  <c r="B13" i="4"/>
  <c r="W12" i="4"/>
  <c r="V12" i="4"/>
  <c r="U12" i="4"/>
  <c r="T12" i="4"/>
  <c r="Q12" i="4"/>
  <c r="P12" i="4"/>
  <c r="O12" i="4"/>
  <c r="N12" i="4"/>
  <c r="M12" i="4"/>
  <c r="L12" i="4"/>
  <c r="K12" i="4"/>
  <c r="J12" i="4"/>
  <c r="I12" i="4"/>
  <c r="H12" i="4"/>
  <c r="G12" i="4"/>
  <c r="D12" i="4"/>
  <c r="C12" i="4"/>
  <c r="B12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D11" i="4"/>
  <c r="C11" i="4"/>
  <c r="B11" i="4"/>
  <c r="W10" i="4"/>
  <c r="V10" i="4"/>
  <c r="U10" i="4"/>
  <c r="T10" i="4"/>
  <c r="Q10" i="4"/>
  <c r="P10" i="4"/>
  <c r="O10" i="4"/>
  <c r="N10" i="4"/>
  <c r="M10" i="4"/>
  <c r="L10" i="4"/>
  <c r="K10" i="4"/>
  <c r="J10" i="4"/>
  <c r="I10" i="4"/>
  <c r="H10" i="4"/>
  <c r="G10" i="4"/>
  <c r="D10" i="4"/>
  <c r="C10" i="4"/>
  <c r="B10" i="4"/>
  <c r="W9" i="4"/>
  <c r="V9" i="4"/>
  <c r="U9" i="4"/>
  <c r="T9" i="4"/>
  <c r="Q9" i="4"/>
  <c r="P9" i="4"/>
  <c r="O9" i="4"/>
  <c r="N9" i="4"/>
  <c r="M9" i="4"/>
  <c r="L9" i="4"/>
  <c r="K9" i="4"/>
  <c r="J9" i="4"/>
  <c r="I9" i="4"/>
  <c r="H9" i="4"/>
  <c r="G9" i="4"/>
  <c r="D9" i="4"/>
  <c r="C9" i="4"/>
  <c r="B9" i="4"/>
  <c r="W8" i="4"/>
  <c r="V8" i="4"/>
  <c r="U8" i="4"/>
  <c r="T8" i="4"/>
  <c r="Q8" i="4"/>
  <c r="P8" i="4"/>
  <c r="O8" i="4"/>
  <c r="N8" i="4"/>
  <c r="M8" i="4"/>
  <c r="L8" i="4"/>
  <c r="K8" i="4"/>
  <c r="J8" i="4"/>
  <c r="I8" i="4"/>
  <c r="H8" i="4"/>
  <c r="G8" i="4"/>
  <c r="D8" i="4"/>
  <c r="C8" i="4"/>
  <c r="B8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D7" i="4"/>
  <c r="C7" i="4"/>
  <c r="B7" i="4"/>
  <c r="W6" i="4"/>
  <c r="V6" i="4"/>
  <c r="U6" i="4"/>
  <c r="T6" i="4"/>
  <c r="Q6" i="4"/>
  <c r="P6" i="4"/>
  <c r="O6" i="4"/>
  <c r="N6" i="4"/>
  <c r="M6" i="4"/>
  <c r="L6" i="4"/>
  <c r="K6" i="4"/>
  <c r="J6" i="4"/>
  <c r="I6" i="4"/>
  <c r="H6" i="4"/>
  <c r="G6" i="4"/>
  <c r="D6" i="4"/>
  <c r="C6" i="4"/>
  <c r="B6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D5" i="4"/>
  <c r="C5" i="4"/>
  <c r="B5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D4" i="4"/>
  <c r="C4" i="4"/>
  <c r="B4" i="4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6" i="2"/>
  <c r="B6" i="2"/>
  <c r="E5" i="2"/>
  <c r="B5" i="2"/>
  <c r="E4" i="2"/>
  <c r="B4" i="2"/>
  <c r="U23" i="20"/>
  <c r="S23" i="20"/>
  <c r="R23" i="20"/>
  <c r="Q23" i="20"/>
  <c r="P23" i="20"/>
  <c r="I23" i="20"/>
  <c r="G23" i="20"/>
  <c r="F23" i="20"/>
  <c r="E23" i="20"/>
  <c r="D23" i="20"/>
  <c r="U22" i="20"/>
  <c r="S22" i="20"/>
  <c r="R22" i="20"/>
  <c r="Q22" i="20"/>
  <c r="P22" i="20"/>
  <c r="S21" i="20"/>
  <c r="R21" i="20"/>
  <c r="Q21" i="20"/>
  <c r="G21" i="20"/>
  <c r="F21" i="20"/>
  <c r="E21" i="20"/>
  <c r="U20" i="20"/>
  <c r="S20" i="20"/>
  <c r="R20" i="20"/>
  <c r="Q20" i="20"/>
  <c r="P20" i="20"/>
  <c r="I20" i="20"/>
  <c r="G20" i="20"/>
  <c r="F20" i="20"/>
  <c r="E20" i="20"/>
  <c r="D20" i="20"/>
  <c r="S19" i="20"/>
  <c r="R19" i="20"/>
  <c r="Q19" i="20"/>
  <c r="G19" i="20"/>
  <c r="F19" i="20"/>
  <c r="E19" i="20"/>
  <c r="U18" i="20"/>
  <c r="I18" i="20"/>
  <c r="U17" i="20"/>
  <c r="S17" i="20"/>
  <c r="R17" i="20"/>
  <c r="Q17" i="20"/>
  <c r="P17" i="20"/>
  <c r="I17" i="20"/>
  <c r="G17" i="20"/>
  <c r="F17" i="20"/>
  <c r="E17" i="20"/>
  <c r="D17" i="20"/>
  <c r="U16" i="20"/>
  <c r="S16" i="20"/>
  <c r="R16" i="20"/>
  <c r="Q16" i="20"/>
  <c r="P16" i="20"/>
  <c r="I16" i="20"/>
  <c r="G16" i="20"/>
  <c r="F16" i="20"/>
  <c r="E16" i="20"/>
  <c r="D16" i="20"/>
  <c r="S15" i="20"/>
  <c r="R15" i="20"/>
  <c r="Q15" i="20"/>
  <c r="G15" i="20"/>
  <c r="F15" i="20"/>
  <c r="E15" i="20"/>
  <c r="U14" i="20"/>
  <c r="T14" i="20"/>
  <c r="S14" i="20"/>
  <c r="R14" i="20"/>
  <c r="Q14" i="20"/>
  <c r="P14" i="20"/>
  <c r="I14" i="20"/>
  <c r="H14" i="20"/>
  <c r="G14" i="20"/>
  <c r="F14" i="20"/>
  <c r="E14" i="20"/>
  <c r="D14" i="20"/>
  <c r="U13" i="20"/>
  <c r="T13" i="20"/>
  <c r="S13" i="20"/>
  <c r="R13" i="20"/>
  <c r="Q13" i="20"/>
  <c r="P13" i="20"/>
  <c r="I13" i="20"/>
  <c r="H13" i="20"/>
  <c r="G13" i="20"/>
  <c r="F13" i="20"/>
  <c r="E13" i="20"/>
  <c r="D13" i="20"/>
  <c r="U12" i="20"/>
  <c r="S12" i="20"/>
  <c r="R12" i="20"/>
  <c r="Q12" i="20"/>
  <c r="P12" i="20"/>
  <c r="I12" i="20"/>
  <c r="G12" i="20"/>
  <c r="F12" i="20"/>
  <c r="E12" i="20"/>
  <c r="D12" i="20"/>
  <c r="U11" i="20"/>
  <c r="T11" i="20"/>
  <c r="S11" i="20"/>
  <c r="R11" i="20"/>
  <c r="Q11" i="20"/>
  <c r="P11" i="20"/>
  <c r="I11" i="20"/>
  <c r="H11" i="20"/>
  <c r="G11" i="20"/>
  <c r="F11" i="20"/>
  <c r="E11" i="20"/>
  <c r="D11" i="20"/>
  <c r="S10" i="20"/>
  <c r="P10" i="20"/>
  <c r="H10" i="20"/>
  <c r="G10" i="20"/>
  <c r="D10" i="20"/>
  <c r="S9" i="20"/>
  <c r="P9" i="20"/>
  <c r="G9" i="20"/>
  <c r="D9" i="20"/>
  <c r="U8" i="20"/>
  <c r="S8" i="20"/>
  <c r="R8" i="20"/>
  <c r="Q8" i="20"/>
  <c r="P8" i="20"/>
  <c r="I8" i="20"/>
  <c r="G8" i="20"/>
  <c r="F8" i="20"/>
  <c r="E8" i="20"/>
  <c r="D8" i="20"/>
  <c r="T7" i="20"/>
  <c r="S7" i="20"/>
  <c r="Q7" i="20"/>
  <c r="P7" i="20"/>
  <c r="H7" i="20"/>
  <c r="G7" i="20"/>
  <c r="F7" i="20"/>
  <c r="E7" i="20"/>
  <c r="D7" i="20"/>
  <c r="T6" i="20"/>
  <c r="S6" i="20"/>
  <c r="P6" i="20"/>
  <c r="H6" i="20"/>
  <c r="G6" i="20"/>
  <c r="D6" i="20"/>
  <c r="T5" i="20"/>
  <c r="S5" i="20"/>
  <c r="P5" i="20"/>
  <c r="H5" i="20"/>
  <c r="G5" i="20"/>
  <c r="D5" i="20"/>
  <c r="U4" i="20"/>
  <c r="S4" i="20"/>
  <c r="R4" i="20"/>
  <c r="Q4" i="20"/>
  <c r="P4" i="20"/>
  <c r="I4" i="20"/>
  <c r="G4" i="20"/>
  <c r="F4" i="20"/>
  <c r="E4" i="20"/>
  <c r="D4" i="20"/>
  <c r="S3" i="20"/>
  <c r="P3" i="20"/>
  <c r="G3" i="20"/>
  <c r="D3" i="20"/>
  <c r="S2" i="20"/>
  <c r="R2" i="20"/>
  <c r="Q2" i="20"/>
  <c r="P2" i="20"/>
  <c r="G2" i="20"/>
  <c r="F2" i="20"/>
  <c r="E2" i="20"/>
  <c r="D2" i="20"/>
  <c r="S13" i="4" l="1"/>
  <c r="X13" i="4"/>
  <c r="Y13" i="4" s="1"/>
  <c r="P21" i="20"/>
  <c r="D21" i="20"/>
  <c r="F99" i="3"/>
  <c r="S9" i="4"/>
  <c r="X9" i="4"/>
  <c r="Y9" i="4" s="1"/>
  <c r="X12" i="4"/>
  <c r="Y12" i="4" s="1"/>
  <c r="S12" i="4"/>
  <c r="S6" i="4"/>
  <c r="R14" i="4"/>
  <c r="X6" i="4"/>
  <c r="X8" i="4"/>
  <c r="Y8" i="4" s="1"/>
  <c r="S8" i="4"/>
  <c r="S10" i="4"/>
  <c r="X10" i="4"/>
  <c r="Y10" i="4" s="1"/>
  <c r="AL94" i="19"/>
  <c r="H27" i="9"/>
  <c r="H28" i="9"/>
  <c r="H26" i="9"/>
  <c r="AM94" i="19"/>
  <c r="G28" i="9"/>
  <c r="E28" i="9" s="1"/>
  <c r="F9" i="11" s="1"/>
  <c r="G27" i="9"/>
  <c r="E27" i="9" s="1"/>
  <c r="E9" i="11" s="1"/>
  <c r="G26" i="9"/>
  <c r="B5" i="28"/>
  <c r="B13" i="28" s="1"/>
  <c r="T10" i="20"/>
  <c r="T9" i="20"/>
  <c r="H9" i="20"/>
  <c r="I7" i="20"/>
  <c r="D36" i="11"/>
  <c r="C36" i="11" s="1"/>
  <c r="C7" i="11"/>
  <c r="U7" i="20"/>
  <c r="F14" i="6"/>
  <c r="G4" i="6"/>
  <c r="X14" i="4" l="1"/>
  <c r="Y6" i="4"/>
  <c r="I21" i="20"/>
  <c r="D19" i="20"/>
  <c r="U21" i="20"/>
  <c r="P19" i="20"/>
  <c r="S14" i="4"/>
  <c r="S15" i="4"/>
  <c r="F6" i="20"/>
  <c r="F5" i="20" s="1"/>
  <c r="H88" i="9"/>
  <c r="H84" i="9"/>
  <c r="H87" i="9"/>
  <c r="H85" i="9"/>
  <c r="H83" i="9"/>
  <c r="H81" i="9"/>
  <c r="H86" i="9"/>
  <c r="H82" i="9"/>
  <c r="H25" i="9"/>
  <c r="I5" i="6"/>
  <c r="E38" i="11"/>
  <c r="E44" i="11" s="1"/>
  <c r="E15" i="11"/>
  <c r="E26" i="9"/>
  <c r="G88" i="9"/>
  <c r="E88" i="9" s="1"/>
  <c r="M10" i="11" s="1"/>
  <c r="G87" i="9"/>
  <c r="E87" i="9" s="1"/>
  <c r="L10" i="11" s="1"/>
  <c r="G86" i="9"/>
  <c r="E86" i="9" s="1"/>
  <c r="K10" i="11" s="1"/>
  <c r="G85" i="9"/>
  <c r="G84" i="9"/>
  <c r="E84" i="9" s="1"/>
  <c r="I10" i="11" s="1"/>
  <c r="G83" i="9"/>
  <c r="E83" i="9" s="1"/>
  <c r="H10" i="11" s="1"/>
  <c r="G82" i="9"/>
  <c r="E82" i="9" s="1"/>
  <c r="G10" i="11" s="1"/>
  <c r="G81" i="9"/>
  <c r="G25" i="9"/>
  <c r="E6" i="20"/>
  <c r="F38" i="11"/>
  <c r="T3" i="20"/>
  <c r="H3" i="20"/>
  <c r="G15" i="6"/>
  <c r="G14" i="6"/>
  <c r="Y14" i="4" l="1"/>
  <c r="Y15" i="4"/>
  <c r="U19" i="20"/>
  <c r="P15" i="20"/>
  <c r="U15" i="20" s="1"/>
  <c r="D15" i="20"/>
  <c r="I15" i="20" s="1"/>
  <c r="I19" i="20"/>
  <c r="H78" i="9"/>
  <c r="F10" i="20"/>
  <c r="F9" i="20" s="1"/>
  <c r="E85" i="9"/>
  <c r="J10" i="11" s="1"/>
  <c r="J15" i="11" s="1"/>
  <c r="R6" i="20"/>
  <c r="R5" i="20" s="1"/>
  <c r="H3" i="9"/>
  <c r="F3" i="20"/>
  <c r="I6" i="20"/>
  <c r="E5" i="20"/>
  <c r="I8" i="6"/>
  <c r="H15" i="11"/>
  <c r="H39" i="11"/>
  <c r="H44" i="11" s="1"/>
  <c r="L39" i="11"/>
  <c r="L44" i="11" s="1"/>
  <c r="L15" i="11"/>
  <c r="I12" i="6"/>
  <c r="K39" i="11"/>
  <c r="K44" i="11" s="1"/>
  <c r="I11" i="6"/>
  <c r="K15" i="11"/>
  <c r="Q6" i="20"/>
  <c r="G3" i="9"/>
  <c r="I9" i="6"/>
  <c r="I39" i="11"/>
  <c r="I44" i="11" s="1"/>
  <c r="I15" i="11"/>
  <c r="I13" i="6"/>
  <c r="M39" i="11"/>
  <c r="M44" i="11" s="1"/>
  <c r="M15" i="11"/>
  <c r="G39" i="11"/>
  <c r="G44" i="11" s="1"/>
  <c r="I7" i="6"/>
  <c r="G15" i="11"/>
  <c r="E81" i="9"/>
  <c r="G78" i="9"/>
  <c r="E10" i="20"/>
  <c r="J39" i="11"/>
  <c r="J44" i="11" s="1"/>
  <c r="D9" i="11"/>
  <c r="E25" i="9"/>
  <c r="E3" i="9" s="1"/>
  <c r="J5" i="6"/>
  <c r="U5" i="6"/>
  <c r="I10" i="6" l="1"/>
  <c r="R10" i="20"/>
  <c r="R9" i="20" s="1"/>
  <c r="R3" i="20" s="1"/>
  <c r="H56" i="9"/>
  <c r="U12" i="6"/>
  <c r="J12" i="6"/>
  <c r="E9" i="20"/>
  <c r="I9" i="20" s="1"/>
  <c r="I10" i="20"/>
  <c r="U9" i="6"/>
  <c r="J9" i="6"/>
  <c r="U8" i="6"/>
  <c r="J8" i="6"/>
  <c r="V5" i="6"/>
  <c r="C5" i="2"/>
  <c r="D5" i="2" s="1"/>
  <c r="I5" i="2" s="1"/>
  <c r="F5" i="2"/>
  <c r="G5" i="2" s="1"/>
  <c r="J5" i="2" s="1"/>
  <c r="U10" i="6"/>
  <c r="J10" i="6"/>
  <c r="G56" i="9"/>
  <c r="Q10" i="20"/>
  <c r="U7" i="6"/>
  <c r="J7" i="6"/>
  <c r="U13" i="6"/>
  <c r="J13" i="6"/>
  <c r="U11" i="6"/>
  <c r="J11" i="6"/>
  <c r="I5" i="20"/>
  <c r="C9" i="11"/>
  <c r="I4" i="6"/>
  <c r="D38" i="11"/>
  <c r="D15" i="11"/>
  <c r="F10" i="11"/>
  <c r="E78" i="9"/>
  <c r="E56" i="9" s="1"/>
  <c r="U6" i="20"/>
  <c r="Q5" i="20"/>
  <c r="E3" i="20" l="1"/>
  <c r="I3" i="20" s="1"/>
  <c r="F11" i="2"/>
  <c r="G11" i="2" s="1"/>
  <c r="J11" i="2" s="1"/>
  <c r="V11" i="6"/>
  <c r="C11" i="2"/>
  <c r="D11" i="2" s="1"/>
  <c r="I11" i="2" s="1"/>
  <c r="U5" i="20"/>
  <c r="Q9" i="20"/>
  <c r="U9" i="20" s="1"/>
  <c r="U10" i="20"/>
  <c r="F8" i="2"/>
  <c r="G8" i="2" s="1"/>
  <c r="J8" i="2" s="1"/>
  <c r="C8" i="2"/>
  <c r="D8" i="2" s="1"/>
  <c r="V8" i="6"/>
  <c r="F39" i="11"/>
  <c r="C10" i="11"/>
  <c r="C15" i="11" s="1"/>
  <c r="I6" i="6"/>
  <c r="F15" i="11"/>
  <c r="C10" i="2"/>
  <c r="D10" i="2" s="1"/>
  <c r="I10" i="2" s="1"/>
  <c r="V10" i="6"/>
  <c r="F10" i="2"/>
  <c r="G10" i="2" s="1"/>
  <c r="J10" i="2" s="1"/>
  <c r="C38" i="11"/>
  <c r="D44" i="11"/>
  <c r="V13" i="6"/>
  <c r="F13" i="2"/>
  <c r="G13" i="2" s="1"/>
  <c r="J13" i="2" s="1"/>
  <c r="C13" i="2"/>
  <c r="D13" i="2" s="1"/>
  <c r="I13" i="2" s="1"/>
  <c r="F7" i="2"/>
  <c r="G7" i="2" s="1"/>
  <c r="J7" i="2" s="1"/>
  <c r="V7" i="6"/>
  <c r="C7" i="2"/>
  <c r="D7" i="2" s="1"/>
  <c r="I7" i="2" s="1"/>
  <c r="J4" i="6"/>
  <c r="U4" i="6"/>
  <c r="I14" i="6"/>
  <c r="V9" i="6"/>
  <c r="C9" i="2"/>
  <c r="D9" i="2" s="1"/>
  <c r="I9" i="2" s="1"/>
  <c r="F9" i="2"/>
  <c r="G9" i="2" s="1"/>
  <c r="J9" i="2" s="1"/>
  <c r="V12" i="6"/>
  <c r="F12" i="2"/>
  <c r="G12" i="2" s="1"/>
  <c r="J12" i="2" s="1"/>
  <c r="C12" i="2"/>
  <c r="D12" i="2" s="1"/>
  <c r="I12" i="2" s="1"/>
  <c r="I8" i="2"/>
  <c r="U6" i="6" l="1"/>
  <c r="J6" i="6"/>
  <c r="J14" i="6" s="1"/>
  <c r="F4" i="2"/>
  <c r="V4" i="6"/>
  <c r="C4" i="2"/>
  <c r="J15" i="6"/>
  <c r="C39" i="11"/>
  <c r="F44" i="11"/>
  <c r="C44" i="11" s="1"/>
  <c r="U14" i="6"/>
  <c r="Q3" i="20"/>
  <c r="U3" i="20" s="1"/>
  <c r="D4" i="2" l="1"/>
  <c r="G4" i="2"/>
  <c r="F6" i="2"/>
  <c r="G6" i="2" s="1"/>
  <c r="J6" i="2" s="1"/>
  <c r="C6" i="2"/>
  <c r="D6" i="2" s="1"/>
  <c r="I6" i="2" s="1"/>
  <c r="V6" i="6"/>
  <c r="V15" i="6" s="1"/>
  <c r="J17" i="2" s="1"/>
  <c r="B2" i="7" s="1"/>
  <c r="I7" i="7" l="1"/>
  <c r="F7" i="7"/>
  <c r="O7" i="7"/>
  <c r="C7" i="7"/>
  <c r="R7" i="7"/>
  <c r="C26" i="7"/>
  <c r="C42" i="7"/>
  <c r="L7" i="7"/>
  <c r="F14" i="2"/>
  <c r="J4" i="2"/>
  <c r="G14" i="2"/>
  <c r="J19" i="2"/>
  <c r="V14" i="6"/>
  <c r="C14" i="2"/>
  <c r="I4" i="2"/>
  <c r="I14" i="2" s="1"/>
  <c r="J21" i="2" s="1"/>
  <c r="D14" i="2"/>
  <c r="K4" i="2" l="1"/>
  <c r="J14" i="2"/>
  <c r="J22" i="2" s="1"/>
  <c r="K5" i="2" l="1"/>
  <c r="K6" i="2" s="1"/>
  <c r="K7" i="2" s="1"/>
  <c r="K8" i="2" s="1"/>
  <c r="K9" i="2" s="1"/>
  <c r="K10" i="2" s="1"/>
  <c r="K11" i="2" s="1"/>
  <c r="K12" i="2" s="1"/>
  <c r="K13" i="2" s="1"/>
  <c r="L4" i="2"/>
  <c r="L5" i="2" s="1"/>
  <c r="L6" i="2" s="1"/>
  <c r="L7" i="2" s="1"/>
  <c r="L8" i="2" s="1"/>
  <c r="L9" i="2" s="1"/>
  <c r="L10" i="2" s="1"/>
  <c r="L11" i="2" s="1"/>
  <c r="L12" i="2" s="1"/>
  <c r="L13" i="2" s="1"/>
</calcChain>
</file>

<file path=xl/comments1.xml><?xml version="1.0" encoding="utf-8"?>
<comments xmlns="http://schemas.openxmlformats.org/spreadsheetml/2006/main">
  <authors>
    <author>KPMG</author>
  </authors>
  <commentList>
    <comment ref="I14" authorId="0" shapeId="0">
      <text>
        <r>
          <rPr>
            <sz val="8"/>
            <color indexed="81"/>
            <rFont val="Tahoma"/>
            <family val="2"/>
            <charset val="238"/>
          </rPr>
          <t>ocakavame zapornu hodnotu
tato zaporna hodnota ma zodpovedat max. fin. pomoci z SF</t>
        </r>
      </text>
    </comment>
    <comment ref="J14" authorId="0" shapeId="0">
      <text>
        <r>
          <rPr>
            <sz val="8"/>
            <color indexed="81"/>
            <rFont val="Tahoma"/>
            <family val="2"/>
            <charset val="238"/>
          </rPr>
          <t>ocakavame kladnu hodnotu (moze byt aj nizko nad nulou)</t>
        </r>
      </text>
    </comment>
  </commentList>
</comments>
</file>

<file path=xl/comments2.xml><?xml version="1.0" encoding="utf-8"?>
<comments xmlns="http://schemas.openxmlformats.org/spreadsheetml/2006/main">
  <authors>
    <author>Krok Martin</author>
  </authors>
  <commentList>
    <comment ref="AM94" authorId="0" shapeId="0">
      <text>
        <r>
          <rPr>
            <b/>
            <sz val="9"/>
            <color indexed="81"/>
            <rFont val="Segoe UI"/>
            <family val="2"/>
            <charset val="238"/>
          </rPr>
          <t>Krok Martin:</t>
        </r>
        <r>
          <rPr>
            <sz val="9"/>
            <color indexed="81"/>
            <rFont val="Segoe UI"/>
            <family val="2"/>
            <charset val="238"/>
          </rPr>
          <t xml:space="preserve">
Súčet by mal zodpoveď Investičným nákladom na vývoj aplikácií
 v Alternatíve 2</t>
        </r>
      </text>
    </comment>
  </commentList>
</comments>
</file>

<file path=xl/comments3.xml><?xml version="1.0" encoding="utf-8"?>
<comments xmlns="http://schemas.openxmlformats.org/spreadsheetml/2006/main">
  <authors>
    <author>Krok Martin</author>
  </authors>
  <commentList>
    <comment ref="AG25" authorId="0" shapeId="0">
      <text>
        <r>
          <rPr>
            <b/>
            <sz val="9"/>
            <color indexed="81"/>
            <rFont val="Segoe UI"/>
            <family val="2"/>
            <charset val="238"/>
          </rPr>
          <t>Krok Martin:</t>
        </r>
        <r>
          <rPr>
            <sz val="9"/>
            <color indexed="81"/>
            <rFont val="Segoe UI"/>
            <family val="2"/>
            <charset val="238"/>
          </rPr>
          <t xml:space="preserve">
Súčet by mal zodpoveď Investičným nákladom na vývoj aplikácií
 v Alternatíve 2</t>
        </r>
      </text>
    </comment>
    <comment ref="AH25" authorId="0" shapeId="0">
      <text>
        <r>
          <rPr>
            <b/>
            <sz val="9"/>
            <color indexed="81"/>
            <rFont val="Segoe UI"/>
            <family val="2"/>
            <charset val="238"/>
          </rPr>
          <t>Krok Martin:</t>
        </r>
        <r>
          <rPr>
            <sz val="9"/>
            <color indexed="81"/>
            <rFont val="Segoe UI"/>
            <family val="2"/>
            <charset val="238"/>
          </rPr>
          <t xml:space="preserve">
Súčet by mal zodpoveď Investičným nákladom na vývoj aplikácií
 v Alternatíve 2</t>
        </r>
      </text>
    </comment>
    <comment ref="AI25" authorId="0" shapeId="0">
      <text>
        <r>
          <rPr>
            <b/>
            <sz val="9"/>
            <color indexed="81"/>
            <rFont val="Segoe UI"/>
            <family val="2"/>
            <charset val="238"/>
          </rPr>
          <t>Krok Martin:</t>
        </r>
        <r>
          <rPr>
            <sz val="9"/>
            <color indexed="81"/>
            <rFont val="Segoe UI"/>
            <family val="2"/>
            <charset val="238"/>
          </rPr>
          <t xml:space="preserve">
Súčet by mal zodpoveď Investičným nákladom na vývoj aplikácií
 v Alternatíve 2</t>
        </r>
      </text>
    </comment>
    <comment ref="AP25" authorId="0" shapeId="0">
      <text>
        <r>
          <rPr>
            <b/>
            <sz val="9"/>
            <color indexed="81"/>
            <rFont val="Segoe UI"/>
            <family val="2"/>
            <charset val="238"/>
          </rPr>
          <t>Krok Martin:</t>
        </r>
        <r>
          <rPr>
            <sz val="9"/>
            <color indexed="81"/>
            <rFont val="Segoe UI"/>
            <family val="2"/>
            <charset val="238"/>
          </rPr>
          <t xml:space="preserve">
Súčet by mal zodpoveď Investičným nákladom na vývoj aplikácií
 v Alternatíve 2</t>
        </r>
      </text>
    </comment>
  </commentList>
</comments>
</file>

<file path=xl/sharedStrings.xml><?xml version="1.0" encoding="utf-8"?>
<sst xmlns="http://schemas.openxmlformats.org/spreadsheetml/2006/main" count="1789" uniqueCount="466">
  <si>
    <t>Názov</t>
  </si>
  <si>
    <t>Popis</t>
  </si>
  <si>
    <t>Hodnota</t>
  </si>
  <si>
    <t>Životnosť projektu (t)</t>
  </si>
  <si>
    <t>Referenčné obdobie je počet rokov, na ktorý sa vo finančnej analýze (analýze nákladov a výnosov) uvádzajú predpovede. Predpovede týkajúce sa budúceho trendu projektu by sa mali formulovať na obdobie, ktoré je primerané jeho ekonomicky užitočnému trvaniu a ktoré je dosť dlhé na to, aby zahŕňalo jeho pravdepodobné dlhodobejšie dosahy. Ide o časové obdobie, kedy je možné overiť úspešnosť investície. Trvanie sa mení podľa povahy investície. Referenčný časový horizont v rokoch podľa sektorov je uvedený podľa prílohy 1 Delegovaného nariadenia Komisie (EÚ) 480/2014 z 3. marca 2014, ktorým sa dopĺňa všeobecné nariadenie.</t>
  </si>
  <si>
    <t>Referenčná diskontná sadzba (i)</t>
  </si>
  <si>
    <t>Sociálna diskontná sadzba (r)</t>
  </si>
  <si>
    <t>Cieľom CBA je preukázať pri štrukturálne významných investíciách, že ekonomická čistá súčasná hodnota za dané obdobie a pri stanovenej sociálnej diskontnej sadzbe je kladná.</t>
  </si>
  <si>
    <t>Diskontovanie odhadovaných nákladov a prínosov: keď sa odhadne tok ekonomických nákladov a prínosov, mala by sa uplatniť štandardná diskontovaná metodika peňažného toku pomocou sociálnej diskontnej sadzby</t>
  </si>
  <si>
    <t>Osobné náklady (Cper)</t>
  </si>
  <si>
    <t>Jednotka</t>
  </si>
  <si>
    <t>rok</t>
  </si>
  <si>
    <t>%</t>
  </si>
  <si>
    <t>EUR</t>
  </si>
  <si>
    <t xml:space="preserve">Diskontná sadzba, ktorá sa má používať vo finančnej analýze má informovať investora o alternatívnych kapitálových nákladoch. Môže sa za ňu považovať ušlý výnos najlepšieho alternatívneho projektu.
V prípade verejných investičných projektov spolufinancovaných z fondov sa stanovuje 4 % finančná diskontná sadzbu pre výpočet čistej súčasnej hodnoty investície v stálych cenách roku predloženia žiadosti o NFP.
</t>
  </si>
  <si>
    <t>EUR/hod</t>
  </si>
  <si>
    <t>Čistá súčasná hodnota z projektu</t>
  </si>
  <si>
    <t>Finančné prínosy</t>
  </si>
  <si>
    <t>Ekonomické prínosy</t>
  </si>
  <si>
    <t>koeficient obdobia</t>
  </si>
  <si>
    <t>Finančná (FNPV)</t>
  </si>
  <si>
    <t>Ekonomická (ENPV)</t>
  </si>
  <si>
    <t>Kumulovaná diskont. návratnosť ENPV</t>
  </si>
  <si>
    <t>Obdobie</t>
  </si>
  <si>
    <t>rozdiel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</si>
  <si>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</si>
  <si>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</si>
  <si>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</si>
  <si>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</si>
  <si>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</si>
  <si>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</si>
  <si>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</si>
  <si>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</si>
  <si>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</si>
  <si>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</si>
  <si>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SPOLU</t>
  </si>
  <si>
    <t>Cashflow projektu</t>
  </si>
  <si>
    <t>počet / rok</t>
  </si>
  <si>
    <t>hod.</t>
  </si>
  <si>
    <t>Kvalitatívne prínosy</t>
  </si>
  <si>
    <t>Parameter</t>
  </si>
  <si>
    <t>Počet podaní</t>
  </si>
  <si>
    <t>Výška administratívneho poplatku</t>
  </si>
  <si>
    <t>Počet zamestnancov vybavujúcich agendu</t>
  </si>
  <si>
    <t>Priame prínosy</t>
  </si>
  <si>
    <t>Nepriame prínosy</t>
  </si>
  <si>
    <t>Prínosy spolu</t>
  </si>
  <si>
    <t>Administratívne poplatky</t>
  </si>
  <si>
    <t>Ostatné daňové a nedaňové príjmy</t>
  </si>
  <si>
    <t>Kvalitatívne prínosy vo finančnom vyjadrení</t>
  </si>
  <si>
    <t>Organizácia</t>
  </si>
  <si>
    <t>Ulica</t>
  </si>
  <si>
    <t>PSČ</t>
  </si>
  <si>
    <t>Web</t>
  </si>
  <si>
    <t>IČO</t>
  </si>
  <si>
    <t>Spracovateľ</t>
  </si>
  <si>
    <t xml:space="preserve">    Titul, Meno, Priezvisko</t>
  </si>
  <si>
    <t xml:space="preserve">Kontakt na spracovateľa    </t>
  </si>
  <si>
    <t xml:space="preserve">    Email, telefón</t>
  </si>
  <si>
    <t>Hlavička tabuľky</t>
  </si>
  <si>
    <t>Popisná informácia</t>
  </si>
  <si>
    <t>Metodický pokyn k vypracovaniu finančnej analýzy projektu, analýzy nákladov a prínosov projektu a finančnej analýzy žiadateľa o NFP v programovom období 2014 – 2020.</t>
  </si>
  <si>
    <t>Jednotlivé informácie sú farebne odlíšené nasledovne:</t>
  </si>
  <si>
    <t>Automaticky vypočitavané hodnoty</t>
  </si>
  <si>
    <t>Miesto na vpisovanie vlastných hodnôt</t>
  </si>
  <si>
    <t>Preddefinované konštanty</t>
  </si>
  <si>
    <t>Pre projekty zamerané na služby agendových informačných systémov</t>
  </si>
  <si>
    <t>HW</t>
  </si>
  <si>
    <t>SW</t>
  </si>
  <si>
    <t>Všeobecný materiál</t>
  </si>
  <si>
    <t>Variabilné výdavky</t>
  </si>
  <si>
    <t>Výdavky spolu</t>
  </si>
  <si>
    <t>ENPV</t>
  </si>
  <si>
    <t>Aplikačný modul 1</t>
  </si>
  <si>
    <t>Aplikačný modul 2</t>
  </si>
  <si>
    <t>Obstaranie, inštalácia SW produktu vrátane licencie k SW</t>
  </si>
  <si>
    <t>013 Softvér</t>
  </si>
  <si>
    <t>Kód EKO klasifikácie</t>
  </si>
  <si>
    <t>Účet/skupina výdavkov</t>
  </si>
  <si>
    <t>Vytvorenie aplikácie</t>
  </si>
  <si>
    <t>Školenia spojené so SW a aplikáciou</t>
  </si>
  <si>
    <t>518 Ostatné služby</t>
  </si>
  <si>
    <t>Prevádzka vytvoreného riešenia</t>
  </si>
  <si>
    <t>Poplatky vlastníkovi SW produktu - údržba / support k licenciám</t>
  </si>
  <si>
    <t>511 Opravy a udržiavanie</t>
  </si>
  <si>
    <t>Upgrade SW produktu</t>
  </si>
  <si>
    <t>Poplatky za udržanie funkčnosti / dostupnosti aplikácie / update</t>
  </si>
  <si>
    <t>Aplikačná podpora / helpdesk</t>
  </si>
  <si>
    <t>Rozvoj - doplnenie funkcionality aplikácie / upgrade</t>
  </si>
  <si>
    <t>Personálne náklady spojené s prevádzkou SW produktu a aplikácie</t>
  </si>
  <si>
    <t>521 Mzdové výdavky</t>
  </si>
  <si>
    <t>Obstaranie</t>
  </si>
  <si>
    <t>Prevádzka riešenia</t>
  </si>
  <si>
    <t>Nákup, inštalácia a sprevádzkovanie HW 
vrátane systémového SW</t>
  </si>
  <si>
    <t>Nákup, inštalácia a sprevádzkovanie HW
 vrátane systémového SW</t>
  </si>
  <si>
    <t>Školenia spojené s HW</t>
  </si>
  <si>
    <t>022 Samostatné hnuteľné veci
 a súbory hnuteľných vecí</t>
  </si>
  <si>
    <t>Poplatky dodávateľovi podpory HW - údržba/maintenance</t>
  </si>
  <si>
    <t>Upgrade HW</t>
  </si>
  <si>
    <t>Náklady na priestory, energie</t>
  </si>
  <si>
    <t>Personálne náklady spojené s prevádzkou HW</t>
  </si>
  <si>
    <t>Náklady na obstaranie a prevádzku HW</t>
  </si>
  <si>
    <t>Náklady na obstaranie a prevádzku SW</t>
  </si>
  <si>
    <t>Celkové náklady na vlastníctvo (TCO)</t>
  </si>
  <si>
    <t>Rok</t>
  </si>
  <si>
    <t>HW sumár obstaranie</t>
  </si>
  <si>
    <t>HW sumár prevádzka</t>
  </si>
  <si>
    <t xml:space="preserve">Spolu </t>
  </si>
  <si>
    <t>Spolu</t>
  </si>
  <si>
    <t>SW produkty</t>
  </si>
  <si>
    <t>Aplikácie</t>
  </si>
  <si>
    <t>SW produkty - sumár obstaranie</t>
  </si>
  <si>
    <t>SW produkty - sumár prevádzka</t>
  </si>
  <si>
    <t>Aplikácie - sumár obstaranie</t>
  </si>
  <si>
    <t>Aplikácie - sumár prevádzka</t>
  </si>
  <si>
    <t xml:space="preserve">Prvý rok, ktorým výpočet CBA a TCO začína, rok začatia projektu </t>
  </si>
  <si>
    <t>Príloha pre výpočet TCO a čistej súčasnej hodnoty z projektu</t>
  </si>
  <si>
    <t>Názov riešenia</t>
  </si>
  <si>
    <t>112 Zásoby</t>
  </si>
  <si>
    <t>Náklady na existujúce riešenie
(pôvodné riešenie pred realizáciou projektu OP II), ktoré bolo nahradené</t>
  </si>
  <si>
    <t>Kód ISVS z MetaIS</t>
  </si>
  <si>
    <t>Číslo projektu ITMS</t>
  </si>
  <si>
    <t>Vytvorenie riešenia - obstaranie</t>
  </si>
  <si>
    <t>BCR</t>
  </si>
  <si>
    <t>Výstup/funkcionalita projektu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</si>
  <si>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</si>
  <si>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</si>
  <si>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</si>
  <si>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</si>
  <si>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</si>
  <si>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</si>
  <si>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</si>
  <si>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</si>
  <si>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</si>
  <si>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</si>
  <si>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</si>
  <si>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</si>
  <si>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</si>
  <si>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</si>
  <si>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</si>
  <si>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</si>
  <si>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</si>
  <si>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</si>
  <si>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</si>
  <si>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</si>
  <si>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</si>
  <si>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</si>
  <si>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M24</t>
  </si>
  <si>
    <t>Počet dní interné</t>
  </si>
  <si>
    <t>Počet dní externé</t>
  </si>
  <si>
    <t>Pocet FTE interne</t>
  </si>
  <si>
    <t>Pocet FTE externe</t>
  </si>
  <si>
    <t>Rate FTE interné</t>
  </si>
  <si>
    <t>Rate FTE externé</t>
  </si>
  <si>
    <t>Suma interné</t>
  </si>
  <si>
    <t>Suma externé</t>
  </si>
  <si>
    <t xml:space="preserve">   Implementácia služieb </t>
  </si>
  <si>
    <t xml:space="preserve">   Testovanie služieb </t>
  </si>
  <si>
    <t xml:space="preserve">   Nasadenie</t>
  </si>
  <si>
    <t>Integrácie a migrácie</t>
  </si>
  <si>
    <t>Publicita a informovanosť</t>
  </si>
  <si>
    <t xml:space="preserve">Projektové riadenie </t>
  </si>
  <si>
    <t>INDIKATÍVNY ROZPOČET SPOLU</t>
  </si>
  <si>
    <t>Rozdiel</t>
  </si>
  <si>
    <t>NPV</t>
  </si>
  <si>
    <t>HW (aj systémový SW) sumár obstaranie</t>
  </si>
  <si>
    <t>HW (aj systémový SW) sumár prevádzka</t>
  </si>
  <si>
    <t>organizácia A</t>
  </si>
  <si>
    <t>organizácia B</t>
  </si>
  <si>
    <t>organizácia C</t>
  </si>
  <si>
    <t>TO BE</t>
  </si>
  <si>
    <t>organizácia ...</t>
  </si>
  <si>
    <t>Výsledná hodnota</t>
  </si>
  <si>
    <t>Všetky prínosové položky sú automaticky vypočítané na základe údajov uvedených v záložkách TCO, spotrebované cloudové služby a Parametre - Agendové IS</t>
  </si>
  <si>
    <t>Všetky výdavkové položky sú automaticky vypočítané na základe údajov uvedených v záložkách TCO a Parametre - Agendové IS</t>
  </si>
  <si>
    <t>FIRR</t>
  </si>
  <si>
    <t>EIRR</t>
  </si>
  <si>
    <t>FNPV</t>
  </si>
  <si>
    <t>pomer prínosov a nákladov</t>
  </si>
  <si>
    <t>finančná vnútorná výnosová miera (%)</t>
  </si>
  <si>
    <t>ekonomická vnútorná výnosová miera (%)</t>
  </si>
  <si>
    <t>Minimálna hodnota</t>
  </si>
  <si>
    <t>-</t>
  </si>
  <si>
    <t>Výsledok CBA</t>
  </si>
  <si>
    <t>Priemerná mzda vo verejnej správe (aktuálna, W_ps)</t>
  </si>
  <si>
    <t xml:space="preserve">Priemerná mzda v NH (Cperc) </t>
  </si>
  <si>
    <t>Náklady IT systém</t>
  </si>
  <si>
    <t>FTE úradník</t>
  </si>
  <si>
    <t>FTE</t>
  </si>
  <si>
    <t>Administrtívny poplatok</t>
  </si>
  <si>
    <t>človeko-hod.</t>
  </si>
  <si>
    <t>Cena ušetreného času používateľa
(S pravidlom polovice)</t>
  </si>
  <si>
    <t>Materiálové náklady</t>
  </si>
  <si>
    <t>Náklady na budúce riešenie</t>
  </si>
  <si>
    <t>Čas potrebný na vypracovanie a doručenie podania (ušetrený čas používateľa)</t>
  </si>
  <si>
    <t>Trvanie spracovania podania (ušetrený čas úradníka)</t>
  </si>
  <si>
    <t>Zníženie kvalitatívnych prínosov</t>
  </si>
  <si>
    <t>Zníženie očakávaného ušetreného času úradníka</t>
  </si>
  <si>
    <t>Zníženie očakávaného ušetreného času používateľa</t>
  </si>
  <si>
    <t>Zníženie počtu podaní v budúcom stave</t>
  </si>
  <si>
    <t>Zvýšenie nákladov - TCO celkovo</t>
  </si>
  <si>
    <t>Zvýšenie CAPEX</t>
  </si>
  <si>
    <t>Aplikačný modul N</t>
  </si>
  <si>
    <t>Minimálny počet MD</t>
  </si>
  <si>
    <t>Maximálny počet MD</t>
  </si>
  <si>
    <t>Priemerný MD rate</t>
  </si>
  <si>
    <t>Maximálna suma</t>
  </si>
  <si>
    <t>Minimálna suma</t>
  </si>
  <si>
    <t>Vyplní oslovený dodávateľ</t>
  </si>
  <si>
    <t>Ročná prevádzka celého systému (SLA) vrátane zmenových konaní</t>
  </si>
  <si>
    <t>Vyplní spracovateľ projektu</t>
  </si>
  <si>
    <t>Výstup/funkcionalita projektu
(všetky náklady vrátane analýzy, dizajnu, testovania a nasadenia)</t>
  </si>
  <si>
    <t>Vysvetlenie rozptylu medzi minimálnou a maximálnou sumou 
(nepovinné)</t>
  </si>
  <si>
    <t>Rozdiel v nákladoch medzi existujúcim a navrhovaným riešením</t>
  </si>
  <si>
    <t>Prínosy</t>
  </si>
  <si>
    <t xml:space="preserve">Úradníci (€) </t>
  </si>
  <si>
    <t>Občania (€)</t>
  </si>
  <si>
    <t>Úradníci (FTE)</t>
  </si>
  <si>
    <t>Aplikačný modul 3</t>
  </si>
  <si>
    <t>IT - CAPEX</t>
  </si>
  <si>
    <t>IT - OPEX</t>
  </si>
  <si>
    <t>N/A</t>
  </si>
  <si>
    <t>Nevyčíslené spoločenské prínosy</t>
  </si>
  <si>
    <t>...</t>
  </si>
  <si>
    <t>Aplikačný modul - SW a Aplikácie</t>
  </si>
  <si>
    <t>Aplikačný modul - HW</t>
  </si>
  <si>
    <t>(prosíme doplniť)...</t>
  </si>
  <si>
    <t>AS IS</t>
  </si>
  <si>
    <t>Procesy na strane úradníka (časové hodnoty)</t>
  </si>
  <si>
    <t>Proces č. 1</t>
  </si>
  <si>
    <t>Procesný krok č. 1</t>
  </si>
  <si>
    <t>Procesný krok č. 2</t>
  </si>
  <si>
    <t>Procesný krok č. 3</t>
  </si>
  <si>
    <t>Proces č. 2</t>
  </si>
  <si>
    <t>Zdroj</t>
  </si>
  <si>
    <t>prosím uveďte zdroj, v prípade vzorového prieskumu prosím vyplňte hodnoty za jednotlivé merania</t>
  </si>
  <si>
    <t>Meranie č. 1</t>
  </si>
  <si>
    <t>Meranie č. 2</t>
  </si>
  <si>
    <t>Meranie č. 3</t>
  </si>
  <si>
    <t>Meranie č. 4</t>
  </si>
  <si>
    <t>Meranie č. 5</t>
  </si>
  <si>
    <t>Meranie č. 6</t>
  </si>
  <si>
    <t>Meranie č. 7</t>
  </si>
  <si>
    <t>Meranie č. 8</t>
  </si>
  <si>
    <t>Meranie č. 9</t>
  </si>
  <si>
    <t>Meranie č. 10</t>
  </si>
  <si>
    <t>Meranie č. 11</t>
  </si>
  <si>
    <t>Meranie č. 12</t>
  </si>
  <si>
    <t>Meranie č. 13</t>
  </si>
  <si>
    <t>Meranie č. 14</t>
  </si>
  <si>
    <t>Meranie č. 15</t>
  </si>
  <si>
    <t>Meranie č. 16</t>
  </si>
  <si>
    <t>Meranie č. 17</t>
  </si>
  <si>
    <t>Meranie č. 18</t>
  </si>
  <si>
    <t>Meranie č. 19</t>
  </si>
  <si>
    <t>Meranie č. 20</t>
  </si>
  <si>
    <t>Meranie č. 21</t>
  </si>
  <si>
    <t>Meranie č. 22</t>
  </si>
  <si>
    <t>Meranie č. 23</t>
  </si>
  <si>
    <t>Meranie č. 24</t>
  </si>
  <si>
    <t>Meranie č. 25</t>
  </si>
  <si>
    <t>Meranie č. 26</t>
  </si>
  <si>
    <t>Meranie č. 27</t>
  </si>
  <si>
    <t>Meranie č. 28</t>
  </si>
  <si>
    <t>Meranie č. 29</t>
  </si>
  <si>
    <t>Meranie č. 30</t>
  </si>
  <si>
    <t>Procesy na strane občana (časové hodnoty)</t>
  </si>
  <si>
    <t>prosím doplňte časové trvanie aktivity (vložením "1")</t>
  </si>
  <si>
    <t>Zoznam hárkov s vysvetlením a pokynmi</t>
  </si>
  <si>
    <t>Sumarizácia</t>
  </si>
  <si>
    <t>CBA</t>
  </si>
  <si>
    <t>Analyza citlivosti</t>
  </si>
  <si>
    <t>Výdavky</t>
  </si>
  <si>
    <t>Parametre</t>
  </si>
  <si>
    <t>TCO</t>
  </si>
  <si>
    <t>TCO Alt. 1 - SW</t>
  </si>
  <si>
    <t>TCO Alt. 1 - HW</t>
  </si>
  <si>
    <t>TCO Alt. 2 - SW</t>
  </si>
  <si>
    <t>TCO Alt. 2 - HW</t>
  </si>
  <si>
    <t>Rozpočet - vývoj aplikácii</t>
  </si>
  <si>
    <t>Rozdiel
(voči min. riešenia navrhovaneho obstarávateĹom)</t>
  </si>
  <si>
    <t>Popis zmien v alternatívnom riešení
(nepovinné)</t>
  </si>
  <si>
    <t>Alternatívne riešeine
(nepovinné)</t>
  </si>
  <si>
    <t>Riešenie navrhované obstarávateľom</t>
  </si>
  <si>
    <t>Slepý rozpočet</t>
  </si>
  <si>
    <t>Faktory</t>
  </si>
  <si>
    <t>Meranie prínosov</t>
  </si>
  <si>
    <t>Procesné mapy</t>
  </si>
  <si>
    <t>Procesy AS IS</t>
  </si>
  <si>
    <t>Procesy TO BE</t>
  </si>
  <si>
    <t>Hárok</t>
  </si>
  <si>
    <t>Účel hárku</t>
  </si>
  <si>
    <t>Vymenovanie a popísanie nevyčíslených spoločenských prínosov</t>
  </si>
  <si>
    <t>Sumarizácia výsledkov CBA podľa prínosov a modulov</t>
  </si>
  <si>
    <t>Výsledky CBA na agregátnej úrovni, výpočet BCR</t>
  </si>
  <si>
    <t>Žiadne</t>
  </si>
  <si>
    <t>Vstupy od zhotoviteľa (žlté polia)</t>
  </si>
  <si>
    <t>Automatický výpočet citlivosti výsledkov CBA na zmeny parametrov</t>
  </si>
  <si>
    <t>Výpočet prínosov projektu na základe vstupných parametrov</t>
  </si>
  <si>
    <t>Výpočet výdavkov projektu na základe vstupných parametrov</t>
  </si>
  <si>
    <t>Polia "Ostatné daňové a nedaňové príjmy" (ak projekt také generuje)</t>
  </si>
  <si>
    <t>Vstupné parametre pre jednotlivé moduly/životné situácie: počty podaní, trvania času</t>
  </si>
  <si>
    <t>Všetky relevantné žlté polia</t>
  </si>
  <si>
    <t>Zhrnutie celkových nákladov na vlastníctvo oboch alternatív projektu</t>
  </si>
  <si>
    <t xml:space="preserve">Náklady na vlastníctvo softvéru alternatívy 1 (AS IS) </t>
  </si>
  <si>
    <t xml:space="preserve">Náklady na vlastníctvo hardvéru alternatívy 1 (AS IS) </t>
  </si>
  <si>
    <t xml:space="preserve">Náklady na vlastníctvo softvéru alternatívy 2 (TO BE) </t>
  </si>
  <si>
    <t>Náklady na vlastníctvo hardvéru alternatívy 2 (TO BE)</t>
  </si>
  <si>
    <t>Všetky relevantné žlté polia a časové trvanie projektu</t>
  </si>
  <si>
    <t>Vyplnia dodávateľia, oslovení v procese trhovej konzultácie</t>
  </si>
  <si>
    <t>Zoznam modulov s ich opisom a harmonogramom</t>
  </si>
  <si>
    <t>Spoločné vstupné parametre pre ocenenie prínosov a výpočet CBA</t>
  </si>
  <si>
    <t>Aktuálne priemerné mzdy v hospodárstve podľa ŠÚ SR, rok začiatku projektu</t>
  </si>
  <si>
    <t xml:space="preserve">Slúži na rozdelenie prínosov podľa jednotlivých úradov (ak je to možné) 
a na ex-post monitorovanie dosahovania prínosov. </t>
  </si>
  <si>
    <t xml:space="preserve">V procese prípravy štúdie vyplní iba žlté stĺpce označené ako "Alt. 2", ktoré rozdeľujú prínosy podľa úradov </t>
  </si>
  <si>
    <t>Procesné mapy súčasného a budúceho stavu biznis procesov.</t>
  </si>
  <si>
    <t>Procesné mapy ako obrázky.</t>
  </si>
  <si>
    <t xml:space="preserve">Zdroj dát pre odhad časovej náročnosti súčasných procesov. </t>
  </si>
  <si>
    <t xml:space="preserve">Zdroj dát pre odhad časovej náročnosti budúcich procesov. </t>
  </si>
  <si>
    <t>Relevantné merania podľa procesov a procesných krokov.</t>
  </si>
  <si>
    <t>Riadenie projektu</t>
  </si>
  <si>
    <t xml:space="preserve">   Analýza a dizajn</t>
  </si>
  <si>
    <t>Riadenie a publicita</t>
  </si>
  <si>
    <t>Projektové riadenie</t>
  </si>
  <si>
    <t>Priemerná mesačná hrubá mzda vo verejnej správe za 1. - 4. Q./2017 (obdobie aktualizovať k času predloženia dokumentu), podľa ŠÚ SR</t>
  </si>
  <si>
    <t>Priemerná mesačná hrubá mzda v národnom hospodárstve SR za 1. - 4. Q./2017 (obdobie aktualizovať k času predloženia dokumentu), podľa ŠÚ SR</t>
  </si>
  <si>
    <t>Fond pracovnej doby - VS (FPDvs)</t>
  </si>
  <si>
    <t>hod/rok</t>
  </si>
  <si>
    <t>Fond pracovnej doby - NH (FPDnh)</t>
  </si>
  <si>
    <t xml:space="preserve">Cper = (W_ps * Odvody) / Fond pracovnej doby. Odvody (SP, ZP, DP) sú 35,2%“. Osobné náklady sú faktorom prevádzkových variabilných nákladov.
</t>
  </si>
  <si>
    <t>Rok 2019 má dokopy 250 pracovných dní, t.j. 2000 pracovných hodín. S platenými sviatkami má rok 261 pracovných dní, t.j. 2088 pracovných hodín.. 8 hodinový pracovný čas (obdobie aktualizovať k času predloženia dokumentu), podľa https://calendar.zoznam.sk/worktime-sksk.php?hy=2019</t>
  </si>
  <si>
    <t>Rok 2019 má dokopy 250 pracovných dní, t.j. 1875 pracovných hodín. S platenými sviatkami má rok 261 pracovných dní, t.j. 1957.5 pracovných hodín. 7,5 hodinový pracovný čas (obdobie aktualizovať k času predloženia dokumentu), podľa https://calendar.zoznam.sk/worktime-sksk.php?hy=2019</t>
  </si>
  <si>
    <t>Položka</t>
  </si>
  <si>
    <t>Merná jednotka</t>
  </si>
  <si>
    <t>Počet</t>
  </si>
  <si>
    <t>Jednotková cena (eur)</t>
  </si>
  <si>
    <t>Celková suma (eur)</t>
  </si>
  <si>
    <t>Zdroj ceny</t>
  </si>
  <si>
    <t>ks</t>
  </si>
  <si>
    <t>Rozpočet - HW a licencie</t>
  </si>
  <si>
    <t>Detailný rozpočet pre vývoj navrhovaného riešenia (TO BE)</t>
  </si>
  <si>
    <t>Položkový rozpočet pre nákup licencií a HW (TO BE)</t>
  </si>
  <si>
    <t>Nákup krabicového SW</t>
  </si>
  <si>
    <t>Dodatočná úprava krabicového SW / Vývoj riešenia</t>
  </si>
  <si>
    <t>Názov SW</t>
  </si>
  <si>
    <t>počet kusov</t>
  </si>
  <si>
    <t>Cena za kus</t>
  </si>
  <si>
    <t>Cena spolu</t>
  </si>
  <si>
    <t>637003/637004</t>
  </si>
  <si>
    <t>Integrácie a migrácie (modulov)</t>
  </si>
  <si>
    <t>Výstupné náklady</t>
  </si>
  <si>
    <t>Zmluvné poplaky</t>
  </si>
  <si>
    <t>Technologické požiadavky</t>
  </si>
  <si>
    <t>SW a Aplikácie - výstupné náklady</t>
  </si>
  <si>
    <t>SW a Aplikácie - Výstupné náklady</t>
  </si>
  <si>
    <t>Popis
(Vrátane zdôvodnenia zvoleného technologického variantu - IaaS, PaaS, vývoj vlastnej aplikácie, COTS riešenie)</t>
  </si>
  <si>
    <t>"Out of scope" - HW nesúvisiaci priamo s projektom</t>
  </si>
  <si>
    <t>Aho</t>
  </si>
  <si>
    <t>Koncová služba</t>
  </si>
  <si>
    <t>TO BE - AS IS (€, NPV)</t>
  </si>
  <si>
    <t>TO BE - AS IS (€, SUM)</t>
  </si>
  <si>
    <t>Kontrola TO BE</t>
  </si>
  <si>
    <t>Finančný cashflow (s DPH)</t>
  </si>
  <si>
    <t>Ekonomický cashflow (bez DPH)</t>
  </si>
  <si>
    <t>Náklady s DPH</t>
  </si>
  <si>
    <t>ekonomická čistá súčasná hodnota (eur bez DPH)</t>
  </si>
  <si>
    <t>finančná čistá súčasná hodnota (eur s DPH)</t>
  </si>
  <si>
    <t>Atlas pasívnej infraštruktúry</t>
  </si>
  <si>
    <t>Ministerstvo životného prostredia Slovenskej republiky</t>
  </si>
  <si>
    <t>Námestie Ľudovíta Štúra 1, Bratislava</t>
  </si>
  <si>
    <t>812 35</t>
  </si>
  <si>
    <t>GeoPortál</t>
  </si>
  <si>
    <t>GeoDatabáza</t>
  </si>
  <si>
    <t>GIS Light</t>
  </si>
  <si>
    <t>Modul správy žiadostí</t>
  </si>
  <si>
    <t>Transformačný modul pre priestorové údaje</t>
  </si>
  <si>
    <t>Analytický server pre priestorové údaje</t>
  </si>
  <si>
    <t>CMS</t>
  </si>
  <si>
    <t>IAM</t>
  </si>
  <si>
    <t>Web portál</t>
  </si>
  <si>
    <t>GIS Server</t>
  </si>
  <si>
    <t>Modul pre Spracovanie notifikácií</t>
  </si>
  <si>
    <t>Modul Správy a výmeny Údajov</t>
  </si>
  <si>
    <t>ServiceDesk</t>
  </si>
  <si>
    <t>Licencia ORACLE DB EA + RAC</t>
  </si>
  <si>
    <t>CPU</t>
  </si>
  <si>
    <t>Oracle VM</t>
  </si>
  <si>
    <t xml:space="preserve">Security </t>
  </si>
  <si>
    <t>Názov aktivity</t>
  </si>
  <si>
    <t>Suma (€ s dpH)</t>
  </si>
  <si>
    <t>MDs</t>
  </si>
  <si>
    <t>Začiatok aktivity</t>
  </si>
  <si>
    <t>Koniec aktivity</t>
  </si>
  <si>
    <t>Analýza a dizajn</t>
  </si>
  <si>
    <t>T+2M</t>
  </si>
  <si>
    <t>T+14M</t>
  </si>
  <si>
    <t>Implementácia</t>
  </si>
  <si>
    <t>T+4M</t>
  </si>
  <si>
    <t>T+19M</t>
  </si>
  <si>
    <t>Testovanie</t>
  </si>
  <si>
    <t>T+8M</t>
  </si>
  <si>
    <t>Nasadenie</t>
  </si>
  <si>
    <t>T+11M</t>
  </si>
  <si>
    <t>Projektový manažment</t>
  </si>
  <si>
    <t>T+1M</t>
  </si>
  <si>
    <t>T+24M</t>
  </si>
  <si>
    <t>Q&amp;A počas projektu</t>
  </si>
  <si>
    <t>Školenia</t>
  </si>
  <si>
    <t>Podporné aktivity, publicita</t>
  </si>
  <si>
    <t>Nákup HW a krabicového softvéru</t>
  </si>
  <si>
    <t>ArcGIS desktop + ext</t>
  </si>
  <si>
    <t>ArCGIS server Ent</t>
  </si>
  <si>
    <t>Image server</t>
  </si>
  <si>
    <t>GIS cluster ySpatial</t>
  </si>
  <si>
    <t>transformačný nástroj geopriestorových informácií</t>
  </si>
  <si>
    <t xml:space="preserve">Limity podľa príručky oprávnenosti výdavkov Prioritnej osi 7 Informačná spoločnosť Operačného programu Integrovaná infraštruktúra </t>
  </si>
  <si>
    <t>zdroj</t>
  </si>
  <si>
    <t>cena MD bez DPH</t>
  </si>
  <si>
    <t>cena MD s DPH</t>
  </si>
  <si>
    <t>IT architekt</t>
  </si>
  <si>
    <t>IT tester</t>
  </si>
  <si>
    <t xml:space="preserve">IT programátor/vývojár </t>
  </si>
  <si>
    <t xml:space="preserve">Projektový manažér IT projektu </t>
  </si>
  <si>
    <t>IT analytik</t>
  </si>
  <si>
    <t>IT dohľad/Quality Assurance</t>
  </si>
  <si>
    <t xml:space="preserve">Špecialista pre bezpečnosť IT </t>
  </si>
  <si>
    <t xml:space="preserve">Špecialista pre infraštruktúrny/HW špecialista </t>
  </si>
  <si>
    <t>Špecialista pre databázy</t>
  </si>
  <si>
    <t>Školiteľ pre IT systémy</t>
  </si>
  <si>
    <t xml:space="preserve"> Iné (pozícia, ktorú nie je možné zaradiť do vyššie uvedených pozícií)  </t>
  </si>
  <si>
    <t>M25</t>
  </si>
  <si>
    <t>M26</t>
  </si>
  <si>
    <t>M27</t>
  </si>
  <si>
    <t>M28</t>
  </si>
  <si>
    <t>M29</t>
  </si>
  <si>
    <t>M30</t>
  </si>
  <si>
    <t>WEB Service Gateway</t>
  </si>
  <si>
    <t>Web Service Gateway</t>
  </si>
  <si>
    <t xml:space="preserve">   Cieľový prevádzkový model</t>
  </si>
  <si>
    <t xml:space="preserve">   Bezpečnostný projekt </t>
  </si>
  <si>
    <t>Integračná platforma</t>
  </si>
  <si>
    <t>Nahradenie DSL pripojenia s rýchlosťou nižšou ako 100 Mbit/s (last mile)</t>
  </si>
  <si>
    <r>
      <t xml:space="preserve"> Efektívne poskytovanie štátnej pomoci UPVII - pokrývanie bielych miest (backhaul)</t>
    </r>
    <r>
      <rPr>
        <i/>
        <sz val="11"/>
        <color rgb="FF000000"/>
        <rFont val="Calibri"/>
        <family val="2"/>
        <charset val="238"/>
        <scheme val="minor"/>
      </rPr>
      <t xml:space="preserve">
</t>
    </r>
  </si>
  <si>
    <t xml:space="preserve"> Efektívne poskytovanie štátnej pomoci UPVII - pokrývanie bielych miest (backhaul)</t>
  </si>
  <si>
    <t>Vybavenie žiadosti o informáciu o dostupnej fyzickej infraštruktúre v definovanej  oblasti</t>
  </si>
  <si>
    <t>Poskytovanie analytických údajov o fyzickej infraštruktúre</t>
  </si>
  <si>
    <t>Notifikácia prihláseného účastníka trhu o plánovanej investícií do fyzickej infraštruktúry</t>
  </si>
  <si>
    <t>Cieľový prevádzkový model</t>
  </si>
  <si>
    <t>Bezpečnostný projekt</t>
  </si>
  <si>
    <t>T+29M</t>
  </si>
  <si>
    <t>T+28M</t>
  </si>
  <si>
    <t>T+30M</t>
  </si>
  <si>
    <t>Registrovanie žiadateľa údajov fyzickej infraštruktúry</t>
  </si>
  <si>
    <t>Registrovanie poskytovateľa údajov fyzickej infraštruktúry</t>
  </si>
  <si>
    <t xml:space="preserve">Registrovanie plánovanej investičnej akcie budovania fyzickej infraštruktúry
</t>
  </si>
  <si>
    <t>Nahrávanie existujúceho stavu siete fyzickej infraštruktúry</t>
  </si>
  <si>
    <t>Aktualizovanie a rozširovanie údajov existujúceho prípojného bodu fyzickej infraštruktúry</t>
  </si>
  <si>
    <t>Aktualizovanie a rozširovanie údajov o spôsobe využitia existujúcej fyzickej infraštruktúry</t>
  </si>
  <si>
    <t>Prihlasovanie na notifikáciu o plánovanej investícií do fyzickej infraštruktúry</t>
  </si>
  <si>
    <t>Spravovanie nahraných geopriestorových súborov používateľa fyzickej infraštruktúry</t>
  </si>
  <si>
    <t>Spravovanie služieb Atlasu pasívnej infraštruktúry a podporovanie prevádzky</t>
  </si>
  <si>
    <t>Zakresľovanie priestorovej informácie o fyzickej infraštruktúre</t>
  </si>
  <si>
    <t>IT/IS konzultant</t>
  </si>
  <si>
    <t xml:space="preserve">   Podpora pri realizácii integrácií  IS VS </t>
  </si>
  <si>
    <t>Nahradenie internetového  pripojenia  s pevným rádiovým prístupom (last mile)</t>
  </si>
  <si>
    <t>bližší popis sa nachádzav ŠU v časti TO-BE architektúra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</si>
</sst>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0.0%"/>
    <numFmt numFmtId="167" formatCode="#,##0_ ;\-#,##0;\-;@"/>
    <numFmt numFmtId="168" formatCode="0.00;\-0.00;\-;@"/>
    <numFmt numFmtId="169" formatCode="#,##0.00_ ;\-#,##0.00\ "/>
  </numFmts>
  <fonts count="72" x14ac:knownFonts="1">
    <font>
      <sz val="11"/>
      <color rgb="FF000000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8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b/>
      <sz val="8"/>
      <color rgb="FFFA7D00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9"/>
      <color rgb="FFAEABAB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A7D00"/>
      <name val="Calibri"/>
      <family val="2"/>
      <charset val="238"/>
      <scheme val="minor"/>
    </font>
    <font>
      <sz val="8"/>
      <color rgb="FFFA7D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1"/>
      <color rgb="FF7F7F7F"/>
      <name val="Calibri"/>
      <family val="2"/>
      <charset val="238"/>
      <scheme val="minor"/>
    </font>
    <font>
      <sz val="9"/>
      <color rgb="FF7F7F7F"/>
      <name val="Calibri"/>
      <family val="2"/>
      <charset val="238"/>
      <scheme val="minor"/>
    </font>
    <font>
      <sz val="11"/>
      <color rgb="FF7F7F7F"/>
      <name val="Calibri"/>
      <family val="2"/>
      <charset val="238"/>
      <scheme val="minor"/>
    </font>
    <font>
      <sz val="11"/>
      <color rgb="FF006100"/>
      <name val="Arial Narrow"/>
      <family val="2"/>
      <charset val="238"/>
    </font>
    <font>
      <sz val="16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C55A11"/>
      <name val="Arial"/>
      <family val="2"/>
      <charset val="238"/>
    </font>
    <font>
      <sz val="11"/>
      <color rgb="FFC55A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  <font>
      <b/>
      <u/>
      <sz val="11"/>
      <color rgb="FFED7D3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C55A11"/>
      <name val="Calibri"/>
      <family val="2"/>
      <charset val="238"/>
      <scheme val="minor"/>
    </font>
    <font>
      <b/>
      <sz val="11"/>
      <color rgb="FFC55A11"/>
      <name val="Calibri"/>
      <family val="2"/>
      <charset val="238"/>
      <scheme val="minor"/>
    </font>
    <font>
      <sz val="11"/>
      <color rgb="FF833C0B"/>
      <name val="Calibri"/>
      <family val="2"/>
      <charset val="238"/>
      <scheme val="minor"/>
    </font>
    <font>
      <b/>
      <sz val="11"/>
      <color rgb="FF833C0B"/>
      <name val="Calibri"/>
      <family val="2"/>
      <charset val="238"/>
      <scheme val="minor"/>
    </font>
    <font>
      <sz val="9"/>
      <color rgb="FFC55A11"/>
      <name val="Calibri"/>
      <family val="2"/>
      <charset val="238"/>
      <scheme val="minor"/>
    </font>
    <font>
      <b/>
      <sz val="9"/>
      <color rgb="FFC55A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rgb="FFFF0000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75707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FFFF"/>
        <bgColor indexed="64"/>
      </patternFill>
    </fill>
  </fills>
  <borders count="190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/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/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 style="thin">
        <color rgb="FF7F7F7F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/>
      <diagonal/>
    </border>
    <border>
      <left/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/>
      <right style="medium">
        <color rgb="FF000000"/>
      </right>
      <top style="thin">
        <color rgb="FFB2B2B2"/>
      </top>
      <bottom style="thin">
        <color rgb="FFB2B2B2"/>
      </bottom>
      <diagonal/>
    </border>
    <border>
      <left/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/>
      <top style="medium">
        <color rgb="FF000000"/>
      </top>
      <bottom style="thin">
        <color rgb="FFB2B2B2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medium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rgb="FF000000"/>
      </bottom>
      <diagonal/>
    </border>
    <border>
      <left style="thin">
        <color rgb="FF7F7F7F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AEABAB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AEABAB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thin">
        <color rgb="FFAEABAB"/>
      </right>
      <top style="medium">
        <color rgb="FF000000"/>
      </top>
      <bottom style="thin">
        <color rgb="FFB2B2B2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medium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medium">
        <color rgb="FF000000"/>
      </left>
      <right style="thin">
        <color rgb="FFAEABAB"/>
      </right>
      <top style="thin">
        <color rgb="FFAEABAB"/>
      </top>
      <bottom style="medium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medium">
        <color rgb="FF000000"/>
      </bottom>
      <diagonal/>
    </border>
    <border>
      <left style="thin">
        <color rgb="FFAEABAB"/>
      </left>
      <right style="medium">
        <color rgb="FF000000"/>
      </right>
      <top style="thin">
        <color rgb="FFAEABAB"/>
      </top>
      <bottom style="medium">
        <color rgb="FF000000"/>
      </bottom>
      <diagonal/>
    </border>
    <border>
      <left style="thin">
        <color rgb="FFAEABAB"/>
      </left>
      <right style="medium">
        <color rgb="FF000000"/>
      </right>
      <top style="thin">
        <color rgb="FFAEABAB"/>
      </top>
      <bottom style="thin">
        <color rgb="FFAEABAB"/>
      </bottom>
      <diagonal/>
    </border>
    <border>
      <left style="medium">
        <color rgb="FF000000"/>
      </left>
      <right style="medium">
        <color rgb="FF000000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AEABAB"/>
      </right>
      <top/>
      <bottom style="thin">
        <color rgb="FFB2B2B2"/>
      </bottom>
      <diagonal/>
    </border>
    <border>
      <left/>
      <right style="medium">
        <color rgb="FF000000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AEABAB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/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rgb="FF000000"/>
      </right>
      <top/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medium">
        <color rgb="FF000000"/>
      </left>
      <right style="medium">
        <color rgb="FF000000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medium">
        <color rgb="FF000000"/>
      </right>
      <top/>
      <bottom style="thin">
        <color rgb="FFAEABAB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/>
      <bottom style="thin">
        <color rgb="FFAEABAB"/>
      </bottom>
      <diagonal/>
    </border>
    <border>
      <left style="medium">
        <color rgb="FF000000"/>
      </left>
      <right style="thin">
        <color rgb="FFAEABAB"/>
      </right>
      <top style="medium">
        <color rgb="FF000000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medium">
        <color rgb="FF000000"/>
      </top>
      <bottom style="thin">
        <color rgb="FFAEABAB"/>
      </bottom>
      <diagonal/>
    </border>
    <border>
      <left style="thin">
        <color rgb="FFAEABAB"/>
      </left>
      <right style="medium">
        <color rgb="FF000000"/>
      </right>
      <top style="medium">
        <color rgb="FF000000"/>
      </top>
      <bottom style="thin">
        <color rgb="FFAEABAB"/>
      </bottom>
      <diagonal/>
    </border>
    <border>
      <left style="medium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medium">
        <color rgb="FF000000"/>
      </right>
      <top style="thin">
        <color rgb="FFAEABAB"/>
      </top>
      <bottom style="thin">
        <color rgb="FFAEABAB"/>
      </bottom>
      <diagonal/>
    </border>
    <border>
      <left style="medium">
        <color rgb="FF000000"/>
      </left>
      <right style="thin">
        <color rgb="FFAEABAB"/>
      </right>
      <top style="thin">
        <color rgb="FFAEABAB"/>
      </top>
      <bottom style="medium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medium">
        <color rgb="FF000000"/>
      </bottom>
      <diagonal/>
    </border>
    <border>
      <left style="thin">
        <color rgb="FFAEABAB"/>
      </left>
      <right style="medium">
        <color rgb="FF000000"/>
      </right>
      <top style="thin">
        <color rgb="FFAEABAB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B2B2B2"/>
      </left>
      <right style="medium">
        <color rgb="FF000000"/>
      </right>
      <top/>
      <bottom style="thin">
        <color rgb="FFB2B2B2"/>
      </bottom>
      <diagonal/>
    </border>
  </borders>
  <cellStyleXfs count="1">
    <xf numFmtId="0" fontId="0" fillId="0" borderId="0"/>
  </cellStyleXfs>
  <cellXfs count="876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4" fillId="0" borderId="0" xfId="0" applyFont="1" applyAlignment="1">
      <alignment vertical="top"/>
    </xf>
    <xf numFmtId="0" fontId="3" fillId="2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24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 wrapText="1"/>
    </xf>
    <xf numFmtId="0" fontId="10" fillId="6" borderId="31" xfId="0" applyFont="1" applyFill="1" applyBorder="1" applyAlignment="1">
      <alignment horizontal="left" vertical="top" wrapText="1"/>
    </xf>
    <xf numFmtId="0" fontId="0" fillId="6" borderId="32" xfId="0" applyFill="1" applyBorder="1" applyAlignment="1">
      <alignment horizontal="left" vertical="top" wrapText="1"/>
    </xf>
    <xf numFmtId="0" fontId="0" fillId="7" borderId="15" xfId="0" applyFill="1" applyBorder="1" applyAlignment="1">
      <alignment vertical="top" wrapText="1"/>
    </xf>
    <xf numFmtId="0" fontId="0" fillId="7" borderId="26" xfId="0" applyFill="1" applyBorder="1" applyAlignment="1">
      <alignment vertical="top" wrapText="1"/>
    </xf>
    <xf numFmtId="0" fontId="11" fillId="7" borderId="5" xfId="0" applyFont="1" applyFill="1" applyBorder="1" applyAlignment="1">
      <alignment vertical="top" wrapText="1"/>
    </xf>
    <xf numFmtId="0" fontId="9" fillId="7" borderId="0" xfId="0" applyFont="1" applyFill="1" applyAlignment="1">
      <alignment horizontal="center" vertical="top" wrapText="1"/>
    </xf>
    <xf numFmtId="0" fontId="0" fillId="6" borderId="18" xfId="0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0" fillId="7" borderId="0" xfId="0" applyFill="1" applyAlignment="1">
      <alignment vertical="top" wrapText="1"/>
    </xf>
    <xf numFmtId="0" fontId="0" fillId="7" borderId="25" xfId="0" applyFill="1" applyBorder="1" applyAlignment="1">
      <alignment vertical="top" wrapText="1"/>
    </xf>
    <xf numFmtId="0" fontId="11" fillId="7" borderId="27" xfId="0" applyFont="1" applyFill="1" applyBorder="1" applyAlignment="1">
      <alignment vertical="top" wrapText="1"/>
    </xf>
    <xf numFmtId="0" fontId="0" fillId="7" borderId="24" xfId="0" applyFill="1" applyBorder="1" applyAlignment="1">
      <alignment vertical="top" wrapText="1"/>
    </xf>
    <xf numFmtId="0" fontId="11" fillId="7" borderId="6" xfId="0" applyFont="1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4" fontId="7" fillId="4" borderId="16" xfId="0" applyNumberFormat="1" applyFont="1" applyFill="1" applyBorder="1" applyAlignment="1">
      <alignment horizontal="right" vertical="top" wrapText="1"/>
    </xf>
    <xf numFmtId="4" fontId="7" fillId="4" borderId="36" xfId="0" applyNumberFormat="1" applyFont="1" applyFill="1" applyBorder="1" applyAlignment="1">
      <alignment horizontal="right" vertical="top" wrapText="1"/>
    </xf>
    <xf numFmtId="0" fontId="9" fillId="7" borderId="6" xfId="0" applyFont="1" applyFill="1" applyBorder="1" applyAlignment="1">
      <alignment horizontal="left" vertical="top" wrapText="1"/>
    </xf>
    <xf numFmtId="4" fontId="7" fillId="4" borderId="37" xfId="0" applyNumberFormat="1" applyFont="1" applyFill="1" applyBorder="1" applyAlignment="1">
      <alignment horizontal="right" vertical="top" wrapText="1"/>
    </xf>
    <xf numFmtId="0" fontId="7" fillId="4" borderId="16" xfId="0" applyFont="1" applyFill="1" applyBorder="1" applyAlignment="1">
      <alignment horizontal="left" vertical="top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4" fontId="7" fillId="4" borderId="42" xfId="0" applyNumberFormat="1" applyFont="1" applyFill="1" applyBorder="1" applyAlignment="1">
      <alignment horizontal="right" vertical="top" wrapText="1"/>
    </xf>
    <xf numFmtId="4" fontId="7" fillId="4" borderId="45" xfId="0" applyNumberFormat="1" applyFont="1" applyFill="1" applyBorder="1" applyAlignment="1">
      <alignment horizontal="right" vertical="top" wrapText="1"/>
    </xf>
    <xf numFmtId="3" fontId="7" fillId="4" borderId="42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0" fillId="6" borderId="3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0" fillId="7" borderId="29" xfId="0" applyFill="1" applyBorder="1" applyAlignment="1">
      <alignment vertical="top" wrapText="1"/>
    </xf>
    <xf numFmtId="0" fontId="11" fillId="7" borderId="30" xfId="0" applyFont="1" applyFill="1" applyBorder="1" applyAlignment="1">
      <alignment vertical="top" wrapText="1"/>
    </xf>
    <xf numFmtId="4" fontId="7" fillId="4" borderId="71" xfId="0" applyNumberFormat="1" applyFont="1" applyFill="1" applyBorder="1" applyAlignment="1">
      <alignment horizontal="right" vertical="top" wrapText="1"/>
    </xf>
    <xf numFmtId="4" fontId="7" fillId="4" borderId="72" xfId="0" applyNumberFormat="1" applyFont="1" applyFill="1" applyBorder="1" applyAlignment="1">
      <alignment horizontal="right" vertical="top" wrapText="1"/>
    </xf>
    <xf numFmtId="4" fontId="7" fillId="4" borderId="73" xfId="0" applyNumberFormat="1" applyFont="1" applyFill="1" applyBorder="1" applyAlignment="1">
      <alignment horizontal="right" vertical="top" wrapText="1"/>
    </xf>
    <xf numFmtId="4" fontId="7" fillId="4" borderId="74" xfId="0" applyNumberFormat="1" applyFont="1" applyFill="1" applyBorder="1" applyAlignment="1">
      <alignment horizontal="right" vertical="top" wrapText="1"/>
    </xf>
    <xf numFmtId="4" fontId="7" fillId="4" borderId="76" xfId="0" applyNumberFormat="1" applyFont="1" applyFill="1" applyBorder="1" applyAlignment="1">
      <alignment horizontal="right" vertical="top" wrapText="1"/>
    </xf>
    <xf numFmtId="0" fontId="0" fillId="0" borderId="75" xfId="0" applyBorder="1" applyAlignment="1">
      <alignment horizontal="left" vertical="top" wrapText="1"/>
    </xf>
    <xf numFmtId="0" fontId="10" fillId="6" borderId="35" xfId="0" applyFont="1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4" fontId="7" fillId="4" borderId="77" xfId="0" applyNumberFormat="1" applyFont="1" applyFill="1" applyBorder="1" applyAlignment="1">
      <alignment horizontal="right" vertical="top" wrapText="1"/>
    </xf>
    <xf numFmtId="4" fontId="7" fillId="4" borderId="78" xfId="0" applyNumberFormat="1" applyFont="1" applyFill="1" applyBorder="1" applyAlignment="1">
      <alignment horizontal="right" vertical="top" wrapText="1"/>
    </xf>
    <xf numFmtId="4" fontId="7" fillId="4" borderId="79" xfId="0" applyNumberFormat="1" applyFont="1" applyFill="1" applyBorder="1" applyAlignment="1">
      <alignment horizontal="righ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6" fillId="3" borderId="80" xfId="0" applyFont="1" applyFill="1" applyBorder="1" applyAlignment="1">
      <alignment horizontal="right" vertical="top" wrapText="1"/>
    </xf>
    <xf numFmtId="4" fontId="7" fillId="4" borderId="36" xfId="0" applyNumberFormat="1" applyFont="1" applyFill="1" applyBorder="1" applyAlignment="1">
      <alignment horizontal="left" vertical="top" wrapText="1"/>
    </xf>
    <xf numFmtId="4" fontId="7" fillId="4" borderId="81" xfId="0" applyNumberFormat="1" applyFont="1" applyFill="1" applyBorder="1" applyAlignment="1">
      <alignment horizontal="right" vertical="top" wrapText="1"/>
    </xf>
    <xf numFmtId="4" fontId="7" fillId="4" borderId="82" xfId="0" applyNumberFormat="1" applyFont="1" applyFill="1" applyBorder="1" applyAlignment="1">
      <alignment horizontal="right" vertical="top" wrapText="1"/>
    </xf>
    <xf numFmtId="4" fontId="7" fillId="4" borderId="83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3" fontId="7" fillId="4" borderId="14" xfId="0" applyNumberFormat="1" applyFont="1" applyFill="1" applyBorder="1" applyAlignment="1">
      <alignment horizontal="right" vertical="top" wrapText="1"/>
    </xf>
    <xf numFmtId="3" fontId="7" fillId="4" borderId="24" xfId="0" applyNumberFormat="1" applyFont="1" applyFill="1" applyBorder="1" applyAlignment="1">
      <alignment horizontal="right" vertical="top" wrapText="1"/>
    </xf>
    <xf numFmtId="3" fontId="7" fillId="4" borderId="15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6" borderId="22" xfId="0" applyFont="1" applyFill="1" applyBorder="1" applyAlignment="1">
      <alignment horizontal="center" vertical="top" wrapText="1"/>
    </xf>
    <xf numFmtId="3" fontId="7" fillId="4" borderId="14" xfId="0" applyNumberFormat="1" applyFont="1" applyFill="1" applyBorder="1" applyAlignment="1">
      <alignment vertical="top" wrapText="1"/>
    </xf>
    <xf numFmtId="3" fontId="7" fillId="4" borderId="24" xfId="0" applyNumberFormat="1" applyFont="1" applyFill="1" applyBorder="1" applyAlignment="1">
      <alignment vertical="top" wrapText="1"/>
    </xf>
    <xf numFmtId="3" fontId="7" fillId="4" borderId="15" xfId="0" applyNumberFormat="1" applyFont="1" applyFill="1" applyBorder="1" applyAlignment="1">
      <alignment vertical="top" wrapText="1"/>
    </xf>
    <xf numFmtId="0" fontId="9" fillId="10" borderId="6" xfId="0" applyFont="1" applyFill="1" applyBorder="1" applyAlignment="1">
      <alignment horizontal="left" vertical="top" wrapText="1"/>
    </xf>
    <xf numFmtId="0" fontId="9" fillId="7" borderId="30" xfId="0" applyFont="1" applyFill="1" applyBorder="1" applyAlignment="1">
      <alignment horizontal="left" vertical="top" wrapText="1"/>
    </xf>
    <xf numFmtId="0" fontId="9" fillId="11" borderId="6" xfId="0" applyFont="1" applyFill="1" applyBorder="1" applyAlignment="1">
      <alignment horizontal="left" vertical="top" wrapText="1"/>
    </xf>
    <xf numFmtId="3" fontId="7" fillId="4" borderId="72" xfId="0" applyNumberFormat="1" applyFont="1" applyFill="1" applyBorder="1" applyAlignment="1">
      <alignment horizontal="right" vertical="top" wrapText="1"/>
    </xf>
    <xf numFmtId="3" fontId="7" fillId="4" borderId="73" xfId="0" applyNumberFormat="1" applyFont="1" applyFill="1" applyBorder="1" applyAlignment="1">
      <alignment horizontal="right" vertical="top" wrapText="1"/>
    </xf>
    <xf numFmtId="3" fontId="7" fillId="4" borderId="74" xfId="0" applyNumberFormat="1" applyFont="1" applyFill="1" applyBorder="1" applyAlignment="1">
      <alignment horizontal="right" vertical="top" wrapText="1"/>
    </xf>
    <xf numFmtId="0" fontId="9" fillId="10" borderId="30" xfId="0" applyFont="1" applyFill="1" applyBorder="1" applyAlignment="1">
      <alignment horizontal="left" vertical="top" wrapText="1"/>
    </xf>
    <xf numFmtId="0" fontId="9" fillId="11" borderId="3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30" fillId="0" borderId="0" xfId="0" applyFont="1"/>
    <xf numFmtId="49" fontId="30" fillId="0" borderId="0" xfId="0" applyNumberFormat="1" applyFont="1"/>
    <xf numFmtId="3" fontId="7" fillId="4" borderId="73" xfId="0" applyNumberFormat="1" applyFont="1" applyFill="1" applyBorder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0" fillId="0" borderId="0" xfId="0"/>
    <xf numFmtId="0" fontId="30" fillId="0" borderId="0" xfId="0" applyFont="1"/>
    <xf numFmtId="0" fontId="9" fillId="7" borderId="69" xfId="0" applyFont="1" applyFill="1" applyBorder="1" applyAlignment="1">
      <alignment horizontal="center" vertical="top" wrapText="1"/>
    </xf>
    <xf numFmtId="3" fontId="7" fillId="4" borderId="36" xfId="0" applyNumberFormat="1" applyFont="1" applyFill="1" applyBorder="1"/>
    <xf numFmtId="3" fontId="7" fillId="4" borderId="88" xfId="0" applyNumberFormat="1" applyFont="1" applyFill="1" applyBorder="1"/>
    <xf numFmtId="0" fontId="0" fillId="6" borderId="89" xfId="0" applyFill="1" applyBorder="1" applyAlignment="1">
      <alignment horizontal="center" vertical="top" wrapText="1"/>
    </xf>
    <xf numFmtId="3" fontId="7" fillId="4" borderId="82" xfId="0" applyNumberFormat="1" applyFont="1" applyFill="1" applyBorder="1" applyAlignment="1">
      <alignment horizontal="right"/>
    </xf>
    <xf numFmtId="3" fontId="7" fillId="4" borderId="83" xfId="0" applyNumberFormat="1" applyFont="1" applyFill="1" applyBorder="1" applyAlignment="1">
      <alignment horizontal="right"/>
    </xf>
    <xf numFmtId="3" fontId="7" fillId="4" borderId="69" xfId="0" applyNumberFormat="1" applyFont="1" applyFill="1" applyBorder="1"/>
    <xf numFmtId="3" fontId="7" fillId="4" borderId="30" xfId="0" applyNumberFormat="1" applyFont="1" applyFill="1" applyBorder="1"/>
    <xf numFmtId="3" fontId="7" fillId="4" borderId="90" xfId="0" applyNumberFormat="1" applyFont="1" applyFill="1" applyBorder="1"/>
    <xf numFmtId="0" fontId="27" fillId="0" borderId="14" xfId="0" applyFont="1" applyBorder="1"/>
    <xf numFmtId="0" fontId="27" fillId="0" borderId="23" xfId="0" applyFont="1" applyBorder="1"/>
    <xf numFmtId="0" fontId="29" fillId="0" borderId="24" xfId="0" applyFont="1" applyBorder="1"/>
    <xf numFmtId="0" fontId="0" fillId="0" borderId="0" xfId="0" applyAlignment="1">
      <alignment horizontal="left" vertical="top" wrapText="1"/>
    </xf>
    <xf numFmtId="0" fontId="8" fillId="0" borderId="0" xfId="0" applyFont="1"/>
    <xf numFmtId="0" fontId="3" fillId="5" borderId="30" xfId="0" applyFont="1" applyFill="1" applyBorder="1" applyAlignment="1">
      <alignment vertical="top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6" borderId="87" xfId="0" applyFill="1" applyBorder="1" applyAlignment="1">
      <alignment horizontal="center" vertical="top" wrapText="1"/>
    </xf>
    <xf numFmtId="0" fontId="0" fillId="6" borderId="60" xfId="0" applyFill="1" applyBorder="1" applyAlignment="1">
      <alignment horizontal="center" vertical="top" wrapText="1"/>
    </xf>
    <xf numFmtId="0" fontId="0" fillId="6" borderId="61" xfId="0" applyFill="1" applyBorder="1" applyAlignment="1">
      <alignment horizontal="center" vertical="top" wrapText="1"/>
    </xf>
    <xf numFmtId="3" fontId="7" fillId="4" borderId="93" xfId="0" applyNumberFormat="1" applyFont="1" applyFill="1" applyBorder="1"/>
    <xf numFmtId="3" fontId="7" fillId="4" borderId="78" xfId="0" applyNumberFormat="1" applyFont="1" applyFill="1" applyBorder="1"/>
    <xf numFmtId="3" fontId="7" fillId="4" borderId="43" xfId="0" applyNumberFormat="1" applyFont="1" applyFill="1" applyBorder="1"/>
    <xf numFmtId="3" fontId="7" fillId="4" borderId="46" xfId="0" applyNumberFormat="1" applyFont="1" applyFill="1" applyBorder="1"/>
    <xf numFmtId="3" fontId="7" fillId="4" borderId="94" xfId="0" applyNumberFormat="1" applyFont="1" applyFill="1" applyBorder="1"/>
    <xf numFmtId="3" fontId="13" fillId="5" borderId="84" xfId="0" applyNumberFormat="1" applyFont="1" applyFill="1" applyBorder="1" applyAlignment="1">
      <alignment vertical="top" wrapText="1"/>
    </xf>
    <xf numFmtId="3" fontId="13" fillId="5" borderId="53" xfId="0" applyNumberFormat="1" applyFont="1" applyFill="1" applyBorder="1" applyAlignment="1">
      <alignment vertical="top" wrapText="1"/>
    </xf>
    <xf numFmtId="3" fontId="13" fillId="5" borderId="54" xfId="0" applyNumberFormat="1" applyFont="1" applyFill="1" applyBorder="1" applyAlignment="1">
      <alignment vertical="top" wrapText="1"/>
    </xf>
    <xf numFmtId="3" fontId="13" fillId="5" borderId="41" xfId="0" applyNumberFormat="1" applyFont="1" applyFill="1" applyBorder="1" applyAlignment="1">
      <alignment vertical="top" wrapText="1"/>
    </xf>
    <xf numFmtId="3" fontId="13" fillId="5" borderId="17" xfId="0" applyNumberFormat="1" applyFont="1" applyFill="1" applyBorder="1" applyAlignment="1">
      <alignment vertical="top" wrapText="1"/>
    </xf>
    <xf numFmtId="3" fontId="13" fillId="5" borderId="55" xfId="0" applyNumberFormat="1" applyFont="1" applyFill="1" applyBorder="1" applyAlignment="1">
      <alignment vertical="top" wrapText="1"/>
    </xf>
    <xf numFmtId="3" fontId="13" fillId="5" borderId="85" xfId="0" applyNumberFormat="1" applyFont="1" applyFill="1" applyBorder="1" applyAlignment="1">
      <alignment vertical="top" wrapText="1"/>
    </xf>
    <xf numFmtId="3" fontId="13" fillId="5" borderId="56" xfId="0" applyNumberFormat="1" applyFont="1" applyFill="1" applyBorder="1" applyAlignment="1">
      <alignment vertical="top" wrapText="1"/>
    </xf>
    <xf numFmtId="3" fontId="13" fillId="5" borderId="57" xfId="0" applyNumberFormat="1" applyFont="1" applyFill="1" applyBorder="1" applyAlignment="1">
      <alignment vertical="top" wrapText="1"/>
    </xf>
    <xf numFmtId="3" fontId="13" fillId="5" borderId="84" xfId="0" applyNumberFormat="1" applyFont="1" applyFill="1" applyBorder="1" applyAlignment="1">
      <alignment horizontal="right" vertical="top" wrapText="1"/>
    </xf>
    <xf numFmtId="3" fontId="13" fillId="5" borderId="53" xfId="0" applyNumberFormat="1" applyFont="1" applyFill="1" applyBorder="1" applyAlignment="1">
      <alignment horizontal="right" vertical="top" wrapText="1"/>
    </xf>
    <xf numFmtId="3" fontId="13" fillId="5" borderId="41" xfId="0" applyNumberFormat="1" applyFont="1" applyFill="1" applyBorder="1" applyAlignment="1">
      <alignment horizontal="right" vertical="top" wrapText="1"/>
    </xf>
    <xf numFmtId="3" fontId="13" fillId="5" borderId="17" xfId="0" applyNumberFormat="1" applyFont="1" applyFill="1" applyBorder="1" applyAlignment="1">
      <alignment horizontal="right" vertical="top" wrapText="1"/>
    </xf>
    <xf numFmtId="3" fontId="13" fillId="5" borderId="85" xfId="0" applyNumberFormat="1" applyFont="1" applyFill="1" applyBorder="1" applyAlignment="1">
      <alignment horizontal="right" vertical="top" wrapText="1"/>
    </xf>
    <xf numFmtId="3" fontId="13" fillId="5" borderId="56" xfId="0" applyNumberFormat="1" applyFont="1" applyFill="1" applyBorder="1" applyAlignment="1">
      <alignment horizontal="right" vertical="top" wrapText="1"/>
    </xf>
    <xf numFmtId="3" fontId="13" fillId="5" borderId="54" xfId="0" applyNumberFormat="1" applyFont="1" applyFill="1" applyBorder="1" applyAlignment="1">
      <alignment horizontal="right" vertical="top" wrapText="1"/>
    </xf>
    <xf numFmtId="3" fontId="13" fillId="5" borderId="55" xfId="0" applyNumberFormat="1" applyFont="1" applyFill="1" applyBorder="1" applyAlignment="1">
      <alignment horizontal="right" vertical="top" wrapText="1"/>
    </xf>
    <xf numFmtId="3" fontId="13" fillId="5" borderId="57" xfId="0" applyNumberFormat="1" applyFont="1" applyFill="1" applyBorder="1" applyAlignment="1">
      <alignment horizontal="right" vertical="top" wrapText="1"/>
    </xf>
    <xf numFmtId="3" fontId="7" fillId="4" borderId="95" xfId="0" applyNumberFormat="1" applyFont="1" applyFill="1" applyBorder="1" applyAlignment="1">
      <alignment horizontal="right" vertical="top" wrapText="1"/>
    </xf>
    <xf numFmtId="3" fontId="7" fillId="4" borderId="52" xfId="0" applyNumberFormat="1" applyFont="1" applyFill="1" applyBorder="1" applyAlignment="1">
      <alignment horizontal="right" vertical="top" wrapText="1"/>
    </xf>
    <xf numFmtId="3" fontId="7" fillId="4" borderId="47" xfId="0" applyNumberFormat="1" applyFont="1" applyFill="1" applyBorder="1" applyAlignment="1">
      <alignment vertical="top" wrapText="1"/>
    </xf>
    <xf numFmtId="3" fontId="7" fillId="4" borderId="44" xfId="0" applyNumberFormat="1" applyFont="1" applyFill="1" applyBorder="1" applyAlignment="1">
      <alignment vertical="top" wrapText="1"/>
    </xf>
    <xf numFmtId="3" fontId="7" fillId="4" borderId="45" xfId="0" applyNumberFormat="1" applyFont="1" applyFill="1" applyBorder="1" applyAlignment="1">
      <alignment vertical="top" wrapText="1"/>
    </xf>
    <xf numFmtId="3" fontId="7" fillId="4" borderId="96" xfId="0" applyNumberFormat="1" applyFont="1" applyFill="1" applyBorder="1" applyAlignment="1">
      <alignment vertical="top" wrapText="1"/>
    </xf>
    <xf numFmtId="3" fontId="7" fillId="4" borderId="16" xfId="0" applyNumberFormat="1" applyFont="1" applyFill="1" applyBorder="1" applyAlignment="1">
      <alignment vertical="top" wrapText="1"/>
    </xf>
    <xf numFmtId="3" fontId="7" fillId="4" borderId="37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4" fillId="0" borderId="0" xfId="0" applyFont="1"/>
    <xf numFmtId="0" fontId="34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5" fillId="12" borderId="80" xfId="0" applyFont="1" applyFill="1" applyBorder="1" applyAlignment="1">
      <alignment vertical="top"/>
    </xf>
    <xf numFmtId="0" fontId="35" fillId="12" borderId="0" xfId="0" applyFont="1" applyFill="1" applyAlignment="1">
      <alignment vertical="top"/>
    </xf>
    <xf numFmtId="0" fontId="35" fillId="12" borderId="24" xfId="0" applyFont="1" applyFill="1" applyBorder="1" applyAlignment="1">
      <alignment vertical="top"/>
    </xf>
    <xf numFmtId="0" fontId="35" fillId="12" borderId="6" xfId="0" applyFont="1" applyFill="1" applyBorder="1" applyAlignment="1">
      <alignment vertical="top"/>
    </xf>
    <xf numFmtId="0" fontId="35" fillId="0" borderId="0" xfId="0" applyFont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horizontal="left"/>
    </xf>
    <xf numFmtId="0" fontId="39" fillId="14" borderId="29" xfId="0" applyFont="1" applyFill="1" applyBorder="1"/>
    <xf numFmtId="1" fontId="39" fillId="0" borderId="0" xfId="0" applyNumberFormat="1" applyFont="1"/>
    <xf numFmtId="0" fontId="34" fillId="0" borderId="0" xfId="0" applyFont="1"/>
    <xf numFmtId="0" fontId="40" fillId="0" borderId="0" xfId="0" applyFont="1"/>
    <xf numFmtId="4" fontId="7" fillId="4" borderId="50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 vertical="top" wrapText="1"/>
    </xf>
    <xf numFmtId="0" fontId="2" fillId="6" borderId="58" xfId="0" applyFont="1" applyFill="1" applyBorder="1" applyAlignment="1">
      <alignment horizontal="center" vertical="top" wrapText="1"/>
    </xf>
    <xf numFmtId="0" fontId="2" fillId="6" borderId="87" xfId="0" applyFont="1" applyFill="1" applyBorder="1" applyAlignment="1">
      <alignment horizontal="center" vertical="top" wrapText="1"/>
    </xf>
    <xf numFmtId="0" fontId="2" fillId="6" borderId="60" xfId="0" applyFont="1" applyFill="1" applyBorder="1" applyAlignment="1">
      <alignment horizontal="center" vertical="top" wrapText="1"/>
    </xf>
    <xf numFmtId="0" fontId="2" fillId="6" borderId="61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left"/>
    </xf>
    <xf numFmtId="3" fontId="7" fillId="4" borderId="82" xfId="0" applyNumberFormat="1" applyFont="1" applyFill="1" applyBorder="1" applyAlignment="1">
      <alignment horizontal="right"/>
    </xf>
    <xf numFmtId="3" fontId="7" fillId="4" borderId="93" xfId="0" applyNumberFormat="1" applyFont="1" applyFill="1" applyBorder="1"/>
    <xf numFmtId="3" fontId="7" fillId="4" borderId="36" xfId="0" applyNumberFormat="1" applyFont="1" applyFill="1" applyBorder="1"/>
    <xf numFmtId="3" fontId="7" fillId="4" borderId="78" xfId="0" applyNumberFormat="1" applyFont="1" applyFill="1" applyBorder="1"/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3" fontId="7" fillId="4" borderId="83" xfId="0" applyNumberFormat="1" applyFont="1" applyFill="1" applyBorder="1" applyAlignment="1">
      <alignment horizontal="right"/>
    </xf>
    <xf numFmtId="3" fontId="7" fillId="4" borderId="69" xfId="0" applyNumberFormat="1" applyFont="1" applyFill="1" applyBorder="1"/>
    <xf numFmtId="3" fontId="7" fillId="4" borderId="88" xfId="0" applyNumberFormat="1" applyFont="1" applyFill="1" applyBorder="1"/>
    <xf numFmtId="3" fontId="7" fillId="4" borderId="101" xfId="0" applyNumberFormat="1" applyFont="1" applyFill="1" applyBorder="1"/>
    <xf numFmtId="3" fontId="7" fillId="4" borderId="16" xfId="0" applyNumberFormat="1" applyFont="1" applyFill="1" applyBorder="1"/>
    <xf numFmtId="4" fontId="7" fillId="4" borderId="102" xfId="0" applyNumberFormat="1" applyFont="1" applyFill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0" fillId="0" borderId="0" xfId="0" applyNumberFormat="1"/>
    <xf numFmtId="4" fontId="7" fillId="4" borderId="104" xfId="0" applyNumberFormat="1" applyFont="1" applyFill="1" applyBorder="1" applyAlignment="1">
      <alignment horizontal="right" vertical="top" wrapText="1"/>
    </xf>
    <xf numFmtId="0" fontId="8" fillId="0" borderId="8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65" xfId="0" applyBorder="1" applyAlignment="1">
      <alignment horizontal="center" vertical="center"/>
    </xf>
    <xf numFmtId="0" fontId="0" fillId="0" borderId="13" xfId="0" applyBorder="1"/>
    <xf numFmtId="4" fontId="7" fillId="4" borderId="117" xfId="0" applyNumberFormat="1" applyFont="1" applyFill="1" applyBorder="1" applyAlignment="1">
      <alignment horizontal="right" vertical="top" wrapText="1"/>
    </xf>
    <xf numFmtId="4" fontId="7" fillId="4" borderId="116" xfId="0" applyNumberFormat="1" applyFont="1" applyFill="1" applyBorder="1" applyAlignment="1">
      <alignment horizontal="right" vertical="top" wrapText="1"/>
    </xf>
    <xf numFmtId="2" fontId="34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4" fontId="44" fillId="4" borderId="117" xfId="0" applyNumberFormat="1" applyFont="1" applyFill="1" applyBorder="1" applyAlignment="1">
      <alignment horizontal="left" vertical="center" wrapText="1"/>
    </xf>
    <xf numFmtId="4" fontId="7" fillId="15" borderId="116" xfId="0" applyNumberFormat="1" applyFont="1" applyFill="1" applyBorder="1" applyAlignment="1">
      <alignment horizontal="right" vertical="center" wrapText="1"/>
    </xf>
    <xf numFmtId="166" fontId="43" fillId="15" borderId="116" xfId="0" applyNumberFormat="1" applyFont="1" applyFill="1" applyBorder="1" applyAlignment="1">
      <alignment horizontal="right" vertical="center" wrapText="1"/>
    </xf>
    <xf numFmtId="3" fontId="43" fillId="15" borderId="116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4" fontId="46" fillId="9" borderId="116" xfId="0" applyNumberFormat="1" applyFont="1" applyFill="1" applyBorder="1" applyAlignment="1">
      <alignment horizontal="right" vertical="center" wrapText="1"/>
    </xf>
    <xf numFmtId="166" fontId="47" fillId="9" borderId="116" xfId="0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vertical="center"/>
    </xf>
    <xf numFmtId="3" fontId="47" fillId="9" borderId="116" xfId="0" applyNumberFormat="1" applyFont="1" applyFill="1" applyBorder="1" applyAlignment="1">
      <alignment horizontal="right" vertical="center" wrapText="1"/>
    </xf>
    <xf numFmtId="2" fontId="3" fillId="17" borderId="80" xfId="0" applyNumberFormat="1" applyFont="1" applyFill="1" applyBorder="1" applyAlignment="1">
      <alignment vertical="top" wrapText="1"/>
    </xf>
    <xf numFmtId="1" fontId="49" fillId="3" borderId="5" xfId="0" applyNumberFormat="1" applyFont="1" applyFill="1" applyBorder="1" applyAlignment="1">
      <alignment horizontal="right" vertical="top" wrapText="1"/>
    </xf>
    <xf numFmtId="0" fontId="31" fillId="0" borderId="0" xfId="0" applyFont="1"/>
    <xf numFmtId="0" fontId="9" fillId="0" borderId="0" xfId="0" applyFont="1" applyAlignment="1">
      <alignment horizontal="center" vertical="top" wrapText="1"/>
    </xf>
    <xf numFmtId="3" fontId="7" fillId="0" borderId="0" xfId="0" applyNumberFormat="1" applyFont="1"/>
    <xf numFmtId="0" fontId="8" fillId="0" borderId="61" xfId="0" applyFont="1" applyBorder="1"/>
    <xf numFmtId="0" fontId="8" fillId="0" borderId="119" xfId="0" applyFont="1" applyBorder="1"/>
    <xf numFmtId="0" fontId="0" fillId="0" borderId="120" xfId="0" applyBorder="1" applyAlignment="1">
      <alignment horizontal="left"/>
    </xf>
    <xf numFmtId="0" fontId="9" fillId="7" borderId="30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31" fillId="0" borderId="6" xfId="0" applyFont="1" applyBorder="1"/>
    <xf numFmtId="0" fontId="33" fillId="0" borderId="24" xfId="0" applyFont="1" applyBorder="1"/>
    <xf numFmtId="9" fontId="0" fillId="0" borderId="19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9" fontId="0" fillId="0" borderId="0" xfId="0" applyNumberFormat="1"/>
    <xf numFmtId="4" fontId="0" fillId="0" borderId="20" xfId="0" applyNumberFormat="1" applyBorder="1"/>
    <xf numFmtId="9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123" xfId="0" applyNumberFormat="1" applyBorder="1" applyAlignment="1">
      <alignment wrapText="1"/>
    </xf>
    <xf numFmtId="2" fontId="0" fillId="0" borderId="20" xfId="0" applyNumberFormat="1" applyBorder="1"/>
    <xf numFmtId="2" fontId="0" fillId="0" borderId="123" xfId="0" applyNumberFormat="1" applyBorder="1"/>
    <xf numFmtId="9" fontId="8" fillId="10" borderId="19" xfId="0" applyNumberFormat="1" applyFont="1" applyFill="1" applyBorder="1" applyAlignment="1">
      <alignment wrapText="1"/>
    </xf>
    <xf numFmtId="9" fontId="8" fillId="10" borderId="122" xfId="0" applyNumberFormat="1" applyFont="1" applyFill="1" applyBorder="1" applyAlignment="1">
      <alignment wrapText="1"/>
    </xf>
    <xf numFmtId="9" fontId="8" fillId="10" borderId="19" xfId="0" applyNumberFormat="1" applyFont="1" applyFill="1" applyBorder="1"/>
    <xf numFmtId="9" fontId="8" fillId="10" borderId="122" xfId="0" applyNumberFormat="1" applyFont="1" applyFill="1" applyBorder="1"/>
    <xf numFmtId="0" fontId="8" fillId="10" borderId="0" xfId="0" applyFont="1" applyFill="1" applyAlignment="1">
      <alignment wrapText="1"/>
    </xf>
    <xf numFmtId="4" fontId="8" fillId="10" borderId="0" xfId="0" applyNumberFormat="1" applyFont="1" applyFill="1" applyAlignment="1">
      <alignment wrapText="1"/>
    </xf>
    <xf numFmtId="0" fontId="8" fillId="0" borderId="0" xfId="0" applyFont="1"/>
    <xf numFmtId="0" fontId="8" fillId="10" borderId="20" xfId="0" applyFont="1" applyFill="1" applyBorder="1" applyAlignment="1">
      <alignment horizontal="right" wrapText="1"/>
    </xf>
    <xf numFmtId="0" fontId="8" fillId="10" borderId="19" xfId="0" applyFont="1" applyFill="1" applyBorder="1" applyAlignment="1">
      <alignment horizontal="right" wrapText="1"/>
    </xf>
    <xf numFmtId="0" fontId="8" fillId="10" borderId="121" xfId="0" applyFont="1" applyFill="1" applyBorder="1" applyAlignment="1">
      <alignment horizontal="right"/>
    </xf>
    <xf numFmtId="0" fontId="8" fillId="10" borderId="115" xfId="0" applyFont="1" applyFill="1" applyBorder="1" applyAlignment="1">
      <alignment horizontal="right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4" fontId="8" fillId="0" borderId="0" xfId="0" applyNumberFormat="1" applyFont="1" applyAlignment="1">
      <alignment wrapText="1"/>
    </xf>
    <xf numFmtId="9" fontId="8" fillId="19" borderId="20" xfId="0" applyNumberFormat="1" applyFont="1" applyFill="1" applyBorder="1" applyAlignment="1">
      <alignment wrapText="1"/>
    </xf>
    <xf numFmtId="2" fontId="0" fillId="0" borderId="0" xfId="0" applyNumberFormat="1"/>
    <xf numFmtId="9" fontId="8" fillId="19" borderId="21" xfId="0" applyNumberFormat="1" applyFont="1" applyFill="1" applyBorder="1" applyAlignment="1">
      <alignment wrapText="1"/>
    </xf>
    <xf numFmtId="2" fontId="0" fillId="0" borderId="21" xfId="0" applyNumberFormat="1" applyBorder="1" applyAlignment="1">
      <alignment wrapText="1"/>
    </xf>
    <xf numFmtId="2" fontId="0" fillId="0" borderId="21" xfId="0" applyNumberFormat="1" applyBorder="1"/>
    <xf numFmtId="9" fontId="8" fillId="19" borderId="122" xfId="0" applyNumberFormat="1" applyFont="1" applyFill="1" applyBorder="1" applyAlignment="1">
      <alignment wrapText="1"/>
    </xf>
    <xf numFmtId="9" fontId="8" fillId="19" borderId="123" xfId="0" applyNumberFormat="1" applyFont="1" applyFill="1" applyBorder="1" applyAlignment="1">
      <alignment wrapText="1"/>
    </xf>
    <xf numFmtId="9" fontId="8" fillId="19" borderId="115" xfId="0" applyNumberFormat="1" applyFont="1" applyFill="1" applyBorder="1" applyAlignment="1">
      <alignment wrapText="1"/>
    </xf>
    <xf numFmtId="0" fontId="39" fillId="14" borderId="15" xfId="0" applyFont="1" applyFill="1" applyBorder="1"/>
    <xf numFmtId="0" fontId="0" fillId="17" borderId="60" xfId="0" applyFill="1" applyBorder="1"/>
    <xf numFmtId="0" fontId="0" fillId="17" borderId="22" xfId="0" applyFill="1" applyBorder="1"/>
    <xf numFmtId="0" fontId="0" fillId="17" borderId="86" xfId="0" applyFill="1" applyBorder="1"/>
    <xf numFmtId="0" fontId="0" fillId="17" borderId="113" xfId="0" applyFill="1" applyBorder="1"/>
    <xf numFmtId="0" fontId="35" fillId="12" borderId="13" xfId="0" applyFont="1" applyFill="1" applyBorder="1" applyAlignment="1">
      <alignment horizontal="center" vertical="center" wrapText="1"/>
    </xf>
    <xf numFmtId="0" fontId="37" fillId="17" borderId="134" xfId="0" applyFont="1" applyFill="1" applyBorder="1" applyAlignment="1">
      <alignment vertical="center"/>
    </xf>
    <xf numFmtId="0" fontId="37" fillId="17" borderId="133" xfId="0" applyFont="1" applyFill="1" applyBorder="1" applyAlignment="1">
      <alignment vertical="center"/>
    </xf>
    <xf numFmtId="0" fontId="35" fillId="12" borderId="23" xfId="0" applyFont="1" applyFill="1" applyBorder="1" applyAlignment="1">
      <alignment vertical="center"/>
    </xf>
    <xf numFmtId="0" fontId="35" fillId="12" borderId="8" xfId="0" applyFont="1" applyFill="1" applyBorder="1" applyAlignment="1">
      <alignment vertical="center" wrapText="1"/>
    </xf>
    <xf numFmtId="0" fontId="35" fillId="12" borderId="14" xfId="0" applyFont="1" applyFill="1" applyBorder="1" applyAlignment="1">
      <alignment vertical="center"/>
    </xf>
    <xf numFmtId="0" fontId="35" fillId="12" borderId="13" xfId="0" applyFont="1" applyFill="1" applyBorder="1" applyAlignment="1">
      <alignment vertical="center"/>
    </xf>
    <xf numFmtId="0" fontId="35" fillId="12" borderId="14" xfId="0" applyFont="1" applyFill="1" applyBorder="1" applyAlignment="1">
      <alignment horizontal="center" vertical="center" wrapText="1"/>
    </xf>
    <xf numFmtId="0" fontId="35" fillId="12" borderId="23" xfId="0" applyFont="1" applyFill="1" applyBorder="1" applyAlignment="1">
      <alignment horizontal="center" vertical="center" wrapText="1"/>
    </xf>
    <xf numFmtId="0" fontId="35" fillId="12" borderId="24" xfId="0" applyFont="1" applyFill="1" applyBorder="1" applyAlignment="1">
      <alignment horizontal="center" vertical="center" wrapText="1"/>
    </xf>
    <xf numFmtId="0" fontId="35" fillId="12" borderId="0" xfId="0" applyFont="1" applyFill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9" xfId="0" applyFont="1" applyBorder="1" applyAlignment="1">
      <alignment horizontal="center" vertical="center"/>
    </xf>
    <xf numFmtId="0" fontId="39" fillId="14" borderId="26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5" fillId="12" borderId="6" xfId="0" applyFont="1" applyFill="1" applyBorder="1" applyAlignment="1">
      <alignment horizontal="center" vertical="center" wrapText="1"/>
    </xf>
    <xf numFmtId="2" fontId="39" fillId="14" borderId="30" xfId="0" applyNumberFormat="1" applyFont="1" applyFill="1" applyBorder="1" applyAlignment="1">
      <alignment horizontal="center" vertical="center"/>
    </xf>
    <xf numFmtId="0" fontId="35" fillId="12" borderId="6" xfId="0" applyFont="1" applyFill="1" applyBorder="1" applyAlignment="1">
      <alignment horizontal="center" vertical="top" wrapText="1"/>
    </xf>
    <xf numFmtId="0" fontId="35" fillId="12" borderId="14" xfId="0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center" vertical="center"/>
    </xf>
    <xf numFmtId="0" fontId="35" fillId="12" borderId="13" xfId="0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0" fontId="35" fillId="12" borderId="6" xfId="0" applyFont="1" applyFill="1" applyBorder="1" applyAlignment="1">
      <alignment horizontal="center" vertical="center"/>
    </xf>
    <xf numFmtId="0" fontId="39" fillId="14" borderId="29" xfId="0" applyFont="1" applyFill="1" applyBorder="1" applyAlignment="1">
      <alignment horizontal="center" vertical="center"/>
    </xf>
    <xf numFmtId="0" fontId="34" fillId="17" borderId="129" xfId="0" applyFont="1" applyFill="1" applyBorder="1" applyAlignment="1">
      <alignment horizontal="center" vertical="center"/>
    </xf>
    <xf numFmtId="0" fontId="34" fillId="17" borderId="132" xfId="0" applyFont="1" applyFill="1" applyBorder="1" applyAlignment="1">
      <alignment horizontal="center" vertical="center"/>
    </xf>
    <xf numFmtId="0" fontId="35" fillId="12" borderId="8" xfId="0" applyFont="1" applyFill="1" applyBorder="1" applyAlignment="1">
      <alignment horizontal="left" vertical="center"/>
    </xf>
    <xf numFmtId="0" fontId="38" fillId="17" borderId="134" xfId="0" applyFont="1" applyFill="1" applyBorder="1" applyAlignment="1">
      <alignment horizontal="left" vertical="center"/>
    </xf>
    <xf numFmtId="0" fontId="39" fillId="14" borderId="15" xfId="0" applyFont="1" applyFill="1" applyBorder="1" applyAlignment="1">
      <alignment horizontal="left" vertical="center"/>
    </xf>
    <xf numFmtId="3" fontId="7" fillId="4" borderId="142" xfId="0" applyNumberFormat="1" applyFont="1" applyFill="1" applyBorder="1" applyAlignment="1">
      <alignment horizontal="right" vertical="top" wrapText="1"/>
    </xf>
    <xf numFmtId="3" fontId="13" fillId="5" borderId="100" xfId="0" applyNumberFormat="1" applyFont="1" applyFill="1" applyBorder="1" applyAlignment="1">
      <alignment horizontal="right" vertical="top" wrapText="1"/>
    </xf>
    <xf numFmtId="3" fontId="13" fillId="5" borderId="143" xfId="0" applyNumberFormat="1" applyFont="1" applyFill="1" applyBorder="1" applyAlignment="1">
      <alignment horizontal="right" vertical="top" wrapText="1"/>
    </xf>
    <xf numFmtId="3" fontId="13" fillId="5" borderId="144" xfId="0" applyNumberFormat="1" applyFont="1" applyFill="1" applyBorder="1" applyAlignment="1">
      <alignment horizontal="right" vertical="top" wrapText="1"/>
    </xf>
    <xf numFmtId="3" fontId="7" fillId="4" borderId="145" xfId="0" applyNumberFormat="1" applyFont="1" applyFill="1" applyBorder="1" applyAlignment="1">
      <alignment vertical="top" wrapText="1"/>
    </xf>
    <xf numFmtId="3" fontId="13" fillId="5" borderId="100" xfId="0" applyNumberFormat="1" applyFont="1" applyFill="1" applyBorder="1" applyAlignment="1">
      <alignment vertical="top" wrapText="1"/>
    </xf>
    <xf numFmtId="3" fontId="13" fillId="5" borderId="143" xfId="0" applyNumberFormat="1" applyFont="1" applyFill="1" applyBorder="1" applyAlignment="1">
      <alignment vertical="top" wrapText="1"/>
    </xf>
    <xf numFmtId="3" fontId="13" fillId="5" borderId="144" xfId="0" applyNumberFormat="1" applyFont="1" applyFill="1" applyBorder="1" applyAlignment="1">
      <alignment vertical="top" wrapText="1"/>
    </xf>
    <xf numFmtId="3" fontId="7" fillId="4" borderId="105" xfId="0" applyNumberFormat="1" applyFont="1" applyFill="1" applyBorder="1" applyAlignment="1">
      <alignment horizontal="right" vertical="top" wrapText="1"/>
    </xf>
    <xf numFmtId="3" fontId="7" fillId="4" borderId="107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8" fillId="19" borderId="0" xfId="0" applyFont="1" applyFill="1"/>
    <xf numFmtId="0" fontId="8" fillId="19" borderId="0" xfId="0" applyFont="1" applyFill="1" applyAlignment="1">
      <alignment horizontal="left"/>
    </xf>
    <xf numFmtId="0" fontId="8" fillId="0" borderId="69" xfId="0" applyFont="1" applyBorder="1" applyAlignment="1">
      <alignment horizontal="center" vertical="center" wrapText="1"/>
    </xf>
    <xf numFmtId="0" fontId="32" fillId="0" borderId="149" xfId="0" applyFont="1" applyBorder="1" applyAlignment="1">
      <alignment horizontal="center" wrapText="1"/>
    </xf>
    <xf numFmtId="0" fontId="32" fillId="0" borderId="15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5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14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6" xfId="0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0" fillId="17" borderId="112" xfId="0" applyFill="1" applyBorder="1"/>
    <xf numFmtId="0" fontId="0" fillId="17" borderId="113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112" xfId="0" applyFill="1" applyBorder="1" applyAlignment="1">
      <alignment horizontal="center"/>
    </xf>
    <xf numFmtId="0" fontId="32" fillId="0" borderId="148" xfId="0" applyFont="1" applyBorder="1" applyAlignment="1">
      <alignment horizontal="center" wrapText="1"/>
    </xf>
    <xf numFmtId="0" fontId="0" fillId="17" borderId="123" xfId="0" applyFill="1" applyBorder="1" applyAlignment="1">
      <alignment horizontal="center"/>
    </xf>
    <xf numFmtId="0" fontId="33" fillId="9" borderId="69" xfId="0" applyFont="1" applyFill="1" applyBorder="1" applyAlignment="1">
      <alignment horizontal="left" vertical="top"/>
    </xf>
    <xf numFmtId="0" fontId="0" fillId="17" borderId="152" xfId="0" applyFill="1" applyBorder="1"/>
    <xf numFmtId="0" fontId="0" fillId="17" borderId="146" xfId="0" applyFill="1" applyBorder="1" applyAlignment="1">
      <alignment horizontal="left"/>
    </xf>
    <xf numFmtId="0" fontId="0" fillId="17" borderId="146" xfId="0" applyFill="1" applyBorder="1" applyAlignment="1">
      <alignment horizontal="center"/>
    </xf>
    <xf numFmtId="0" fontId="0" fillId="17" borderId="147" xfId="0" applyFill="1" applyBorder="1"/>
    <xf numFmtId="0" fontId="32" fillId="0" borderId="150" xfId="0" applyFont="1" applyBorder="1" applyAlignment="1">
      <alignment wrapText="1"/>
    </xf>
    <xf numFmtId="0" fontId="0" fillId="17" borderId="122" xfId="0" applyFill="1" applyBorder="1" applyAlignment="1">
      <alignment horizontal="center"/>
    </xf>
    <xf numFmtId="0" fontId="0" fillId="17" borderId="124" xfId="0" applyFill="1" applyBorder="1" applyAlignment="1">
      <alignment horizontal="center"/>
    </xf>
    <xf numFmtId="0" fontId="0" fillId="17" borderId="124" xfId="0" applyFill="1" applyBorder="1"/>
    <xf numFmtId="0" fontId="32" fillId="0" borderId="29" xfId="0" applyFont="1" applyBorder="1" applyAlignment="1">
      <alignment horizontal="center" wrapText="1"/>
    </xf>
    <xf numFmtId="0" fontId="0" fillId="17" borderId="152" xfId="0" applyFill="1" applyBorder="1" applyAlignment="1">
      <alignment horizontal="center"/>
    </xf>
    <xf numFmtId="0" fontId="0" fillId="17" borderId="22" xfId="0" applyFill="1" applyBorder="1" applyAlignment="1">
      <alignment horizontal="center" vertical="top" wrapText="1"/>
    </xf>
    <xf numFmtId="0" fontId="55" fillId="0" borderId="0" xfId="0" applyFont="1"/>
    <xf numFmtId="2" fontId="39" fillId="14" borderId="69" xfId="0" applyNumberFormat="1" applyFont="1" applyFill="1" applyBorder="1" applyAlignment="1">
      <alignment horizontal="center" vertical="center"/>
    </xf>
    <xf numFmtId="2" fontId="39" fillId="14" borderId="29" xfId="0" applyNumberFormat="1" applyFont="1" applyFill="1" applyBorder="1" applyAlignment="1">
      <alignment horizontal="center" vertical="center"/>
    </xf>
    <xf numFmtId="0" fontId="35" fillId="12" borderId="80" xfId="0" applyFont="1" applyFill="1" applyBorder="1" applyAlignment="1">
      <alignment horizontal="center" vertical="top" wrapText="1"/>
    </xf>
    <xf numFmtId="0" fontId="35" fillId="12" borderId="6" xfId="0" applyFont="1" applyFill="1" applyBorder="1" applyAlignment="1">
      <alignment vertical="center"/>
    </xf>
    <xf numFmtId="0" fontId="35" fillId="12" borderId="0" xfId="0" applyFont="1" applyFill="1" applyAlignment="1">
      <alignment vertical="center"/>
    </xf>
    <xf numFmtId="0" fontId="35" fillId="12" borderId="24" xfId="0" applyFont="1" applyFill="1" applyBorder="1" applyAlignment="1">
      <alignment vertical="center"/>
    </xf>
    <xf numFmtId="0" fontId="35" fillId="12" borderId="80" xfId="0" applyFont="1" applyFill="1" applyBorder="1" applyAlignment="1">
      <alignment vertical="center" wrapText="1"/>
    </xf>
    <xf numFmtId="0" fontId="8" fillId="9" borderId="153" xfId="0" applyFont="1" applyFill="1" applyBorder="1"/>
    <xf numFmtId="0" fontId="8" fillId="9" borderId="149" xfId="0" applyFont="1" applyFill="1" applyBorder="1"/>
    <xf numFmtId="0" fontId="8" fillId="9" borderId="151" xfId="0" applyFont="1" applyFill="1" applyBorder="1"/>
    <xf numFmtId="0" fontId="0" fillId="25" borderId="113" xfId="0" applyFill="1" applyBorder="1"/>
    <xf numFmtId="0" fontId="0" fillId="25" borderId="22" xfId="0" applyFill="1" applyBorder="1"/>
    <xf numFmtId="0" fontId="32" fillId="17" borderId="22" xfId="0" applyFont="1" applyFill="1" applyBorder="1"/>
    <xf numFmtId="0" fontId="41" fillId="17" borderId="155" xfId="0" applyFont="1" applyFill="1" applyBorder="1" applyAlignment="1">
      <alignment horizontal="center" vertical="center"/>
    </xf>
    <xf numFmtId="0" fontId="41" fillId="17" borderId="156" xfId="0" applyFont="1" applyFill="1" applyBorder="1" applyAlignment="1">
      <alignment horizontal="center" vertical="center"/>
    </xf>
    <xf numFmtId="0" fontId="41" fillId="17" borderId="157" xfId="0" applyFont="1" applyFill="1" applyBorder="1" applyAlignment="1">
      <alignment horizontal="center" vertical="center"/>
    </xf>
    <xf numFmtId="0" fontId="41" fillId="17" borderId="158" xfId="0" applyFont="1" applyFill="1" applyBorder="1" applyAlignment="1">
      <alignment horizontal="center" vertical="center"/>
    </xf>
    <xf numFmtId="0" fontId="41" fillId="17" borderId="159" xfId="0" applyFont="1" applyFill="1" applyBorder="1" applyAlignment="1">
      <alignment horizontal="center" vertical="center"/>
    </xf>
    <xf numFmtId="0" fontId="41" fillId="17" borderId="160" xfId="0" applyFont="1" applyFill="1" applyBorder="1" applyAlignment="1">
      <alignment horizontal="center" vertical="center"/>
    </xf>
    <xf numFmtId="0" fontId="41" fillId="17" borderId="161" xfId="0" applyFont="1" applyFill="1" applyBorder="1" applyAlignment="1">
      <alignment horizontal="center" vertical="center"/>
    </xf>
    <xf numFmtId="0" fontId="41" fillId="17" borderId="162" xfId="0" applyFont="1" applyFill="1" applyBorder="1" applyAlignment="1">
      <alignment horizontal="center" vertical="center"/>
    </xf>
    <xf numFmtId="0" fontId="41" fillId="17" borderId="163" xfId="0" applyFont="1" applyFill="1" applyBorder="1" applyAlignment="1">
      <alignment horizontal="center" vertical="center"/>
    </xf>
    <xf numFmtId="0" fontId="0" fillId="25" borderId="22" xfId="0" applyFill="1" applyBorder="1" applyAlignment="1">
      <alignment wrapText="1"/>
    </xf>
    <xf numFmtId="0" fontId="57" fillId="21" borderId="113" xfId="0" applyFont="1" applyFill="1" applyBorder="1" applyAlignment="1">
      <alignment vertical="center"/>
    </xf>
    <xf numFmtId="0" fontId="57" fillId="21" borderId="22" xfId="0" applyFont="1" applyFill="1" applyBorder="1" applyAlignment="1">
      <alignment vertical="center"/>
    </xf>
    <xf numFmtId="0" fontId="0" fillId="17" borderId="22" xfId="0" applyFill="1" applyBorder="1" applyAlignment="1">
      <alignment wrapText="1"/>
    </xf>
    <xf numFmtId="0" fontId="8" fillId="0" borderId="60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19" borderId="124" xfId="0" applyFont="1" applyFill="1" applyBorder="1"/>
    <xf numFmtId="0" fontId="8" fillId="19" borderId="34" xfId="0" applyFont="1" applyFill="1" applyBorder="1"/>
    <xf numFmtId="0" fontId="8" fillId="19" borderId="112" xfId="0" applyFont="1" applyFill="1" applyBorder="1"/>
    <xf numFmtId="165" fontId="8" fillId="19" borderId="22" xfId="0" applyNumberFormat="1" applyFont="1" applyFill="1" applyBorder="1"/>
    <xf numFmtId="165" fontId="8" fillId="19" borderId="124" xfId="0" applyNumberFormat="1" applyFont="1" applyFill="1" applyBorder="1"/>
    <xf numFmtId="0" fontId="8" fillId="0" borderId="124" xfId="0" applyFont="1" applyBorder="1"/>
    <xf numFmtId="0" fontId="8" fillId="22" borderId="34" xfId="0" applyFont="1" applyFill="1" applyBorder="1"/>
    <xf numFmtId="0" fontId="8" fillId="22" borderId="112" xfId="0" applyFont="1" applyFill="1" applyBorder="1"/>
    <xf numFmtId="0" fontId="8" fillId="21" borderId="124" xfId="0" applyFont="1" applyFill="1" applyBorder="1"/>
    <xf numFmtId="0" fontId="8" fillId="21" borderId="34" xfId="0" applyFont="1" applyFill="1" applyBorder="1"/>
    <xf numFmtId="0" fontId="0" fillId="21" borderId="112" xfId="0" applyFill="1" applyBorder="1"/>
    <xf numFmtId="0" fontId="8" fillId="21" borderId="121" xfId="0" applyFont="1" applyFill="1" applyBorder="1"/>
    <xf numFmtId="0" fontId="8" fillId="21" borderId="18" xfId="0" applyFont="1" applyFill="1" applyBorder="1"/>
    <xf numFmtId="0" fontId="0" fillId="21" borderId="115" xfId="0" applyFill="1" applyBorder="1"/>
    <xf numFmtId="4" fontId="13" fillId="5" borderId="41" xfId="0" applyNumberFormat="1" applyFont="1" applyFill="1" applyBorder="1" applyAlignment="1" applyProtection="1">
      <alignment horizontal="right" vertical="top" wrapText="1"/>
      <protection locked="0"/>
    </xf>
    <xf numFmtId="4" fontId="13" fillId="5" borderId="103" xfId="0" applyNumberFormat="1" applyFont="1" applyFill="1" applyBorder="1" applyAlignment="1" applyProtection="1">
      <alignment horizontal="right" vertical="top" wrapText="1"/>
      <protection locked="0"/>
    </xf>
    <xf numFmtId="0" fontId="0" fillId="18" borderId="0" xfId="0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8" borderId="24" xfId="0" applyFill="1" applyBorder="1" applyAlignment="1">
      <alignment horizontal="center" vertical="top" wrapText="1"/>
    </xf>
    <xf numFmtId="0" fontId="0" fillId="18" borderId="0" xfId="0" applyFill="1" applyAlignment="1">
      <alignment horizontal="center" vertical="top" wrapText="1"/>
    </xf>
    <xf numFmtId="0" fontId="0" fillId="18" borderId="6" xfId="0" applyFill="1" applyBorder="1" applyAlignment="1">
      <alignment horizontal="center" vertical="top" wrapText="1"/>
    </xf>
    <xf numFmtId="0" fontId="9" fillId="18" borderId="0" xfId="0" applyFont="1" applyFill="1" applyAlignment="1">
      <alignment horizontal="left" vertical="top" wrapText="1"/>
    </xf>
    <xf numFmtId="0" fontId="9" fillId="18" borderId="0" xfId="0" applyFont="1" applyFill="1" applyAlignment="1">
      <alignment horizontal="left" vertical="top" wrapText="1"/>
    </xf>
    <xf numFmtId="0" fontId="9" fillId="18" borderId="15" xfId="0" applyFont="1" applyFill="1" applyBorder="1" applyAlignment="1">
      <alignment horizontal="left" vertical="top" wrapText="1"/>
    </xf>
    <xf numFmtId="0" fontId="9" fillId="18" borderId="26" xfId="0" applyFont="1" applyFill="1" applyBorder="1" applyAlignment="1">
      <alignment horizontal="left" vertical="top" wrapText="1"/>
    </xf>
    <xf numFmtId="0" fontId="9" fillId="18" borderId="5" xfId="0" applyFont="1" applyFill="1" applyBorder="1" applyAlignment="1">
      <alignment horizontal="left" vertical="top" wrapText="1"/>
    </xf>
    <xf numFmtId="0" fontId="9" fillId="18" borderId="0" xfId="0" applyFont="1" applyFill="1" applyAlignment="1">
      <alignment horizontal="center" vertical="top" wrapText="1"/>
    </xf>
    <xf numFmtId="0" fontId="9" fillId="18" borderId="27" xfId="0" applyFont="1" applyFill="1" applyBorder="1" applyAlignment="1">
      <alignment horizontal="center" vertical="top" wrapText="1"/>
    </xf>
    <xf numFmtId="0" fontId="9" fillId="18" borderId="19" xfId="0" applyFont="1" applyFill="1" applyBorder="1" applyAlignment="1">
      <alignment horizontal="center" vertical="top" wrapText="1"/>
    </xf>
    <xf numFmtId="0" fontId="9" fillId="18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67" fontId="0" fillId="0" borderId="14" xfId="0" applyNumberFormat="1" applyBorder="1" applyAlignment="1">
      <alignment horizontal="center" vertical="center" wrapText="1"/>
    </xf>
    <xf numFmtId="167" fontId="0" fillId="0" borderId="23" xfId="0" applyNumberFormat="1" applyBorder="1" applyAlignment="1">
      <alignment horizontal="center" vertical="center" wrapText="1"/>
    </xf>
    <xf numFmtId="167" fontId="0" fillId="0" borderId="13" xfId="0" applyNumberFormat="1" applyBorder="1" applyAlignment="1">
      <alignment horizontal="center" vertical="center" wrapText="1"/>
    </xf>
    <xf numFmtId="167" fontId="13" fillId="5" borderId="84" xfId="0" applyNumberFormat="1" applyFont="1" applyFill="1" applyBorder="1" applyAlignment="1">
      <alignment horizontal="center" vertical="center" wrapText="1"/>
    </xf>
    <xf numFmtId="167" fontId="13" fillId="5" borderId="53" xfId="0" applyNumberFormat="1" applyFont="1" applyFill="1" applyBorder="1" applyAlignment="1">
      <alignment horizontal="center" vertical="center" wrapText="1"/>
    </xf>
    <xf numFmtId="167" fontId="53" fillId="20" borderId="53" xfId="0" applyNumberFormat="1" applyFont="1" applyFill="1" applyBorder="1" applyAlignment="1">
      <alignment horizontal="center" vertical="center" wrapText="1"/>
    </xf>
    <xf numFmtId="167" fontId="13" fillId="5" borderId="100" xfId="0" applyNumberFormat="1" applyFont="1" applyFill="1" applyBorder="1" applyAlignment="1">
      <alignment horizontal="center" vertical="center" wrapText="1"/>
    </xf>
    <xf numFmtId="167" fontId="53" fillId="20" borderId="54" xfId="0" applyNumberFormat="1" applyFont="1" applyFill="1" applyBorder="1" applyAlignment="1">
      <alignment horizontal="center" vertical="center" wrapText="1"/>
    </xf>
    <xf numFmtId="9" fontId="3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7" fontId="0" fillId="0" borderId="24" xfId="0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0" fillId="0" borderId="6" xfId="0" applyNumberFormat="1" applyBorder="1" applyAlignment="1">
      <alignment horizontal="center" vertical="center" wrapText="1"/>
    </xf>
    <xf numFmtId="167" fontId="13" fillId="5" borderId="41" xfId="0" applyNumberFormat="1" applyFont="1" applyFill="1" applyBorder="1" applyAlignment="1">
      <alignment horizontal="center" vertical="center" wrapText="1"/>
    </xf>
    <xf numFmtId="167" fontId="13" fillId="5" borderId="17" xfId="0" applyNumberFormat="1" applyFont="1" applyFill="1" applyBorder="1" applyAlignment="1">
      <alignment horizontal="center" vertical="center" wrapText="1"/>
    </xf>
    <xf numFmtId="167" fontId="53" fillId="20" borderId="17" xfId="0" applyNumberFormat="1" applyFont="1" applyFill="1" applyBorder="1" applyAlignment="1">
      <alignment horizontal="center" vertical="center" wrapText="1"/>
    </xf>
    <xf numFmtId="167" fontId="13" fillId="5" borderId="126" xfId="0" applyNumberFormat="1" applyFont="1" applyFill="1" applyBorder="1" applyAlignment="1">
      <alignment horizontal="center" vertical="center" wrapText="1"/>
    </xf>
    <xf numFmtId="167" fontId="53" fillId="20" borderId="9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167" fontId="0" fillId="0" borderId="15" xfId="0" applyNumberFormat="1" applyBorder="1" applyAlignment="1">
      <alignment horizontal="center" vertical="center" wrapText="1"/>
    </xf>
    <xf numFmtId="167" fontId="0" fillId="0" borderId="26" xfId="0" applyNumberFormat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  <xf numFmtId="167" fontId="13" fillId="5" borderId="85" xfId="0" applyNumberFormat="1" applyFont="1" applyFill="1" applyBorder="1" applyAlignment="1">
      <alignment horizontal="center" vertical="center" wrapText="1"/>
    </xf>
    <xf numFmtId="167" fontId="13" fillId="5" borderId="56" xfId="0" applyNumberFormat="1" applyFont="1" applyFill="1" applyBorder="1" applyAlignment="1">
      <alignment horizontal="center" vertical="center" wrapText="1"/>
    </xf>
    <xf numFmtId="167" fontId="53" fillId="20" borderId="56" xfId="0" applyNumberFormat="1" applyFont="1" applyFill="1" applyBorder="1" applyAlignment="1">
      <alignment horizontal="center" vertical="center" wrapText="1"/>
    </xf>
    <xf numFmtId="167" fontId="13" fillId="5" borderId="127" xfId="0" applyNumberFormat="1" applyFont="1" applyFill="1" applyBorder="1" applyAlignment="1">
      <alignment horizontal="center" vertical="center" wrapText="1"/>
    </xf>
    <xf numFmtId="167" fontId="53" fillId="20" borderId="99" xfId="0" applyNumberFormat="1" applyFont="1" applyFill="1" applyBorder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 wrapText="1"/>
    </xf>
    <xf numFmtId="168" fontId="0" fillId="0" borderId="23" xfId="0" applyNumberFormat="1" applyBorder="1" applyAlignment="1">
      <alignment horizontal="center" vertical="center" wrapText="1"/>
    </xf>
    <xf numFmtId="168" fontId="0" fillId="0" borderId="13" xfId="0" applyNumberFormat="1" applyBorder="1" applyAlignment="1">
      <alignment horizontal="center" vertical="center" wrapText="1"/>
    </xf>
    <xf numFmtId="168" fontId="13" fillId="5" borderId="84" xfId="0" applyNumberFormat="1" applyFont="1" applyFill="1" applyBorder="1" applyAlignment="1">
      <alignment horizontal="center" vertical="center" wrapText="1"/>
    </xf>
    <xf numFmtId="168" fontId="13" fillId="5" borderId="53" xfId="0" applyNumberFormat="1" applyFont="1" applyFill="1" applyBorder="1" applyAlignment="1">
      <alignment horizontal="center" vertical="center" wrapText="1"/>
    </xf>
    <xf numFmtId="168" fontId="53" fillId="20" borderId="53" xfId="0" applyNumberFormat="1" applyFont="1" applyFill="1" applyBorder="1" applyAlignment="1">
      <alignment horizontal="center" vertical="center" wrapText="1"/>
    </xf>
    <xf numFmtId="168" fontId="13" fillId="5" borderId="128" xfId="0" applyNumberFormat="1" applyFont="1" applyFill="1" applyBorder="1" applyAlignment="1">
      <alignment horizontal="center" vertical="center" wrapText="1"/>
    </xf>
    <xf numFmtId="168" fontId="53" fillId="20" borderId="97" xfId="0" applyNumberFormat="1" applyFont="1" applyFill="1" applyBorder="1" applyAlignment="1">
      <alignment horizontal="center" vertical="center" wrapText="1"/>
    </xf>
    <xf numFmtId="168" fontId="0" fillId="0" borderId="24" xfId="0" applyNumberForma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8" fontId="0" fillId="0" borderId="6" xfId="0" applyNumberFormat="1" applyBorder="1" applyAlignment="1">
      <alignment horizontal="center" vertical="center" wrapText="1"/>
    </xf>
    <xf numFmtId="168" fontId="13" fillId="5" borderId="41" xfId="0" applyNumberFormat="1" applyFont="1" applyFill="1" applyBorder="1" applyAlignment="1">
      <alignment horizontal="center" vertical="center" wrapText="1"/>
    </xf>
    <xf numFmtId="168" fontId="13" fillId="5" borderId="17" xfId="0" applyNumberFormat="1" applyFont="1" applyFill="1" applyBorder="1" applyAlignment="1">
      <alignment horizontal="center" vertical="center" wrapText="1"/>
    </xf>
    <xf numFmtId="168" fontId="53" fillId="20" borderId="17" xfId="0" applyNumberFormat="1" applyFont="1" applyFill="1" applyBorder="1" applyAlignment="1">
      <alignment horizontal="center" vertical="center" wrapText="1"/>
    </xf>
    <xf numFmtId="168" fontId="13" fillId="5" borderId="126" xfId="0" applyNumberFormat="1" applyFont="1" applyFill="1" applyBorder="1" applyAlignment="1">
      <alignment horizontal="center" vertical="center" wrapText="1"/>
    </xf>
    <xf numFmtId="168" fontId="53" fillId="20" borderId="98" xfId="0" applyNumberFormat="1" applyFont="1" applyFill="1" applyBorder="1" applyAlignment="1">
      <alignment horizontal="center" vertical="center" wrapText="1"/>
    </xf>
    <xf numFmtId="168" fontId="0" fillId="0" borderId="15" xfId="0" applyNumberFormat="1" applyBorder="1" applyAlignment="1">
      <alignment horizontal="center" vertical="center" wrapText="1"/>
    </xf>
    <xf numFmtId="168" fontId="0" fillId="0" borderId="26" xfId="0" applyNumberForma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168" fontId="13" fillId="5" borderId="85" xfId="0" applyNumberFormat="1" applyFont="1" applyFill="1" applyBorder="1" applyAlignment="1">
      <alignment horizontal="center" vertical="center" wrapText="1"/>
    </xf>
    <xf numFmtId="168" fontId="13" fillId="5" borderId="56" xfId="0" applyNumberFormat="1" applyFont="1" applyFill="1" applyBorder="1" applyAlignment="1">
      <alignment horizontal="center" vertical="center" wrapText="1"/>
    </xf>
    <xf numFmtId="168" fontId="53" fillId="20" borderId="56" xfId="0" applyNumberFormat="1" applyFont="1" applyFill="1" applyBorder="1" applyAlignment="1">
      <alignment horizontal="center" vertical="center" wrapText="1"/>
    </xf>
    <xf numFmtId="168" fontId="13" fillId="5" borderId="127" xfId="0" applyNumberFormat="1" applyFont="1" applyFill="1" applyBorder="1" applyAlignment="1">
      <alignment horizontal="center" vertical="center" wrapText="1"/>
    </xf>
    <xf numFmtId="168" fontId="53" fillId="20" borderId="99" xfId="0" applyNumberFormat="1" applyFont="1" applyFill="1" applyBorder="1" applyAlignment="1">
      <alignment horizontal="center" vertical="center" wrapText="1"/>
    </xf>
    <xf numFmtId="9" fontId="32" fillId="0" borderId="18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8" fillId="16" borderId="28" xfId="0" applyFont="1" applyFill="1" applyBorder="1" applyAlignment="1">
      <alignment horizontal="left" vertical="top" wrapText="1"/>
    </xf>
    <xf numFmtId="0" fontId="0" fillId="16" borderId="29" xfId="0" applyFill="1" applyBorder="1" applyAlignment="1">
      <alignment horizontal="left" vertical="top" wrapText="1"/>
    </xf>
    <xf numFmtId="0" fontId="0" fillId="16" borderId="30" xfId="0" applyFill="1" applyBorder="1" applyAlignment="1">
      <alignment horizontal="left" vertical="top" wrapText="1"/>
    </xf>
    <xf numFmtId="0" fontId="51" fillId="16" borderId="29" xfId="0" applyFont="1" applyFill="1" applyBorder="1" applyAlignment="1">
      <alignment horizontal="left" vertical="top" wrapText="1"/>
    </xf>
    <xf numFmtId="0" fontId="13" fillId="16" borderId="140" xfId="0" applyFont="1" applyFill="1" applyBorder="1" applyAlignment="1">
      <alignment horizontal="right" vertical="top" wrapText="1"/>
    </xf>
    <xf numFmtId="0" fontId="53" fillId="16" borderId="140" xfId="0" applyFont="1" applyFill="1" applyBorder="1" applyAlignment="1">
      <alignment horizontal="right" vertical="top" wrapText="1"/>
    </xf>
    <xf numFmtId="0" fontId="13" fillId="16" borderId="141" xfId="0" applyFont="1" applyFill="1" applyBorder="1" applyAlignment="1">
      <alignment horizontal="right" vertical="top" wrapText="1"/>
    </xf>
    <xf numFmtId="0" fontId="53" fillId="16" borderId="30" xfId="0" applyFont="1" applyFill="1" applyBorder="1" applyAlignment="1">
      <alignment horizontal="right" vertical="top" wrapText="1"/>
    </xf>
    <xf numFmtId="0" fontId="0" fillId="7" borderId="6" xfId="0" applyFill="1" applyBorder="1" applyAlignment="1">
      <alignment horizontal="left" vertical="top" wrapText="1"/>
    </xf>
    <xf numFmtId="167" fontId="54" fillId="20" borderId="24" xfId="0" applyNumberFormat="1" applyFont="1" applyFill="1" applyBorder="1" applyAlignment="1">
      <alignment horizontal="center" vertical="center" wrapText="1"/>
    </xf>
    <xf numFmtId="167" fontId="54" fillId="20" borderId="0" xfId="0" applyNumberFormat="1" applyFont="1" applyFill="1" applyAlignment="1">
      <alignment horizontal="center" vertical="center" wrapText="1"/>
    </xf>
    <xf numFmtId="167" fontId="54" fillId="20" borderId="6" xfId="0" applyNumberFormat="1" applyFont="1" applyFill="1" applyBorder="1" applyAlignment="1">
      <alignment horizontal="center" vertical="center" wrapText="1"/>
    </xf>
    <xf numFmtId="167" fontId="53" fillId="23" borderId="136" xfId="0" applyNumberFormat="1" applyFont="1" applyFill="1" applyBorder="1" applyAlignment="1">
      <alignment horizontal="center" vertical="center" wrapText="1"/>
    </xf>
    <xf numFmtId="167" fontId="53" fillId="23" borderId="137" xfId="0" applyNumberFormat="1" applyFont="1" applyFill="1" applyBorder="1" applyAlignment="1">
      <alignment horizontal="center" vertical="center" wrapText="1"/>
    </xf>
    <xf numFmtId="167" fontId="53" fillId="20" borderId="137" xfId="0" applyNumberFormat="1" applyFont="1" applyFill="1" applyBorder="1" applyAlignment="1">
      <alignment horizontal="center" vertical="center" wrapText="1"/>
    </xf>
    <xf numFmtId="167" fontId="53" fillId="23" borderId="138" xfId="0" applyNumberFormat="1" applyFont="1" applyFill="1" applyBorder="1" applyAlignment="1">
      <alignment horizontal="center" vertical="center" wrapText="1"/>
    </xf>
    <xf numFmtId="167" fontId="53" fillId="20" borderId="139" xfId="0" applyNumberFormat="1" applyFont="1" applyFill="1" applyBorder="1" applyAlignment="1">
      <alignment horizontal="center" vertical="center" wrapText="1"/>
    </xf>
    <xf numFmtId="9" fontId="32" fillId="0" borderId="24" xfId="0" applyNumberFormat="1" applyFont="1" applyBorder="1" applyAlignment="1">
      <alignment horizontal="left" vertical="top" wrapText="1"/>
    </xf>
    <xf numFmtId="167" fontId="53" fillId="23" borderId="41" xfId="0" applyNumberFormat="1" applyFont="1" applyFill="1" applyBorder="1" applyAlignment="1">
      <alignment horizontal="center" vertical="center" wrapText="1"/>
    </xf>
    <xf numFmtId="167" fontId="53" fillId="23" borderId="17" xfId="0" applyNumberFormat="1" applyFont="1" applyFill="1" applyBorder="1" applyAlignment="1">
      <alignment horizontal="center" vertical="center" wrapText="1"/>
    </xf>
    <xf numFmtId="167" fontId="53" fillId="23" borderId="126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left" vertical="top" wrapText="1"/>
    </xf>
    <xf numFmtId="167" fontId="54" fillId="20" borderId="15" xfId="0" applyNumberFormat="1" applyFont="1" applyFill="1" applyBorder="1" applyAlignment="1">
      <alignment horizontal="center" vertical="center" wrapText="1"/>
    </xf>
    <xf numFmtId="167" fontId="54" fillId="20" borderId="26" xfId="0" applyNumberFormat="1" applyFont="1" applyFill="1" applyBorder="1" applyAlignment="1">
      <alignment horizontal="center" vertical="center" wrapText="1"/>
    </xf>
    <xf numFmtId="167" fontId="54" fillId="20" borderId="5" xfId="0" applyNumberFormat="1" applyFont="1" applyFill="1" applyBorder="1" applyAlignment="1">
      <alignment horizontal="center" vertical="center" wrapText="1"/>
    </xf>
    <xf numFmtId="167" fontId="53" fillId="23" borderId="85" xfId="0" applyNumberFormat="1" applyFont="1" applyFill="1" applyBorder="1" applyAlignment="1">
      <alignment horizontal="center" vertical="center" wrapText="1"/>
    </xf>
    <xf numFmtId="167" fontId="53" fillId="23" borderId="56" xfId="0" applyNumberFormat="1" applyFont="1" applyFill="1" applyBorder="1" applyAlignment="1">
      <alignment horizontal="center" vertical="center" wrapText="1"/>
    </xf>
    <xf numFmtId="167" fontId="53" fillId="23" borderId="127" xfId="0" applyNumberFormat="1" applyFont="1" applyFill="1" applyBorder="1" applyAlignment="1">
      <alignment horizontal="center" vertical="center" wrapText="1"/>
    </xf>
    <xf numFmtId="167" fontId="53" fillId="23" borderId="84" xfId="0" applyNumberFormat="1" applyFont="1" applyFill="1" applyBorder="1" applyAlignment="1">
      <alignment horizontal="center" vertical="center" wrapText="1"/>
    </xf>
    <xf numFmtId="167" fontId="53" fillId="23" borderId="53" xfId="0" applyNumberFormat="1" applyFont="1" applyFill="1" applyBorder="1" applyAlignment="1">
      <alignment horizontal="center" vertical="center" wrapText="1"/>
    </xf>
    <xf numFmtId="167" fontId="53" fillId="23" borderId="128" xfId="0" applyNumberFormat="1" applyFont="1" applyFill="1" applyBorder="1" applyAlignment="1">
      <alignment horizontal="center" vertical="center" wrapText="1"/>
    </xf>
    <xf numFmtId="167" fontId="53" fillId="20" borderId="97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168" fontId="54" fillId="20" borderId="24" xfId="0" applyNumberFormat="1" applyFont="1" applyFill="1" applyBorder="1" applyAlignment="1">
      <alignment horizontal="center" vertical="center" wrapText="1"/>
    </xf>
    <xf numFmtId="168" fontId="54" fillId="20" borderId="0" xfId="0" applyNumberFormat="1" applyFont="1" applyFill="1" applyAlignment="1">
      <alignment horizontal="center" vertical="center" wrapText="1"/>
    </xf>
    <xf numFmtId="168" fontId="54" fillId="20" borderId="6" xfId="0" applyNumberFormat="1" applyFont="1" applyFill="1" applyBorder="1" applyAlignment="1">
      <alignment horizontal="center" vertical="center" wrapText="1"/>
    </xf>
    <xf numFmtId="168" fontId="53" fillId="23" borderId="84" xfId="0" applyNumberFormat="1" applyFont="1" applyFill="1" applyBorder="1" applyAlignment="1">
      <alignment horizontal="center" vertical="center" wrapText="1"/>
    </xf>
    <xf numFmtId="168" fontId="53" fillId="23" borderId="53" xfId="0" applyNumberFormat="1" applyFont="1" applyFill="1" applyBorder="1" applyAlignment="1">
      <alignment horizontal="center" vertical="center" wrapText="1"/>
    </xf>
    <xf numFmtId="168" fontId="53" fillId="20" borderId="53" xfId="0" applyNumberFormat="1" applyFont="1" applyFill="1" applyBorder="1" applyAlignment="1">
      <alignment horizontal="center" vertical="center" wrapText="1"/>
    </xf>
    <xf numFmtId="168" fontId="53" fillId="23" borderId="128" xfId="0" applyNumberFormat="1" applyFont="1" applyFill="1" applyBorder="1" applyAlignment="1">
      <alignment horizontal="center" vertical="center" wrapText="1"/>
    </xf>
    <xf numFmtId="168" fontId="53" fillId="20" borderId="97" xfId="0" applyNumberFormat="1" applyFont="1" applyFill="1" applyBorder="1" applyAlignment="1">
      <alignment horizontal="center" vertical="center" wrapText="1"/>
    </xf>
    <xf numFmtId="168" fontId="53" fillId="23" borderId="41" xfId="0" applyNumberFormat="1" applyFont="1" applyFill="1" applyBorder="1" applyAlignment="1">
      <alignment horizontal="center" vertical="center" wrapText="1"/>
    </xf>
    <xf numFmtId="168" fontId="53" fillId="23" borderId="17" xfId="0" applyNumberFormat="1" applyFont="1" applyFill="1" applyBorder="1" applyAlignment="1">
      <alignment horizontal="center" vertical="center" wrapText="1"/>
    </xf>
    <xf numFmtId="168" fontId="53" fillId="20" borderId="17" xfId="0" applyNumberFormat="1" applyFont="1" applyFill="1" applyBorder="1" applyAlignment="1">
      <alignment horizontal="center" vertical="center" wrapText="1"/>
    </xf>
    <xf numFmtId="168" fontId="53" fillId="23" borderId="126" xfId="0" applyNumberFormat="1" applyFont="1" applyFill="1" applyBorder="1" applyAlignment="1">
      <alignment horizontal="center" vertical="center" wrapText="1"/>
    </xf>
    <xf numFmtId="168" fontId="53" fillId="20" borderId="98" xfId="0" applyNumberFormat="1" applyFont="1" applyFill="1" applyBorder="1" applyAlignment="1">
      <alignment horizontal="center" vertical="center" wrapText="1"/>
    </xf>
    <xf numFmtId="168" fontId="54" fillId="20" borderId="15" xfId="0" applyNumberFormat="1" applyFont="1" applyFill="1" applyBorder="1" applyAlignment="1">
      <alignment horizontal="center" vertical="center" wrapText="1"/>
    </xf>
    <xf numFmtId="168" fontId="54" fillId="20" borderId="26" xfId="0" applyNumberFormat="1" applyFont="1" applyFill="1" applyBorder="1" applyAlignment="1">
      <alignment horizontal="center" vertical="center" wrapText="1"/>
    </xf>
    <xf numFmtId="168" fontId="54" fillId="20" borderId="5" xfId="0" applyNumberFormat="1" applyFont="1" applyFill="1" applyBorder="1" applyAlignment="1">
      <alignment horizontal="center" vertical="center" wrapText="1"/>
    </xf>
    <xf numFmtId="168" fontId="53" fillId="23" borderId="85" xfId="0" applyNumberFormat="1" applyFont="1" applyFill="1" applyBorder="1" applyAlignment="1">
      <alignment horizontal="center" vertical="center" wrapText="1"/>
    </xf>
    <xf numFmtId="168" fontId="53" fillId="23" borderId="56" xfId="0" applyNumberFormat="1" applyFont="1" applyFill="1" applyBorder="1" applyAlignment="1">
      <alignment horizontal="center" vertical="center" wrapText="1"/>
    </xf>
    <xf numFmtId="168" fontId="53" fillId="20" borderId="56" xfId="0" applyNumberFormat="1" applyFont="1" applyFill="1" applyBorder="1" applyAlignment="1">
      <alignment horizontal="center" vertical="center" wrapText="1"/>
    </xf>
    <xf numFmtId="168" fontId="53" fillId="23" borderId="127" xfId="0" applyNumberFormat="1" applyFont="1" applyFill="1" applyBorder="1" applyAlignment="1">
      <alignment horizontal="center" vertical="center" wrapText="1"/>
    </xf>
    <xf numFmtId="168" fontId="53" fillId="20" borderId="9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3" fontId="7" fillId="4" borderId="80" xfId="0" applyNumberFormat="1" applyFont="1" applyFill="1" applyBorder="1" applyAlignment="1">
      <alignment horizontal="right"/>
    </xf>
    <xf numFmtId="0" fontId="34" fillId="0" borderId="130" xfId="0" applyFont="1" applyBorder="1" applyAlignment="1">
      <alignment horizontal="center" vertical="center"/>
    </xf>
    <xf numFmtId="0" fontId="34" fillId="0" borderId="129" xfId="0" applyFont="1" applyBorder="1" applyAlignment="1">
      <alignment horizontal="center" vertical="center"/>
    </xf>
    <xf numFmtId="3" fontId="7" fillId="4" borderId="93" xfId="0" applyNumberFormat="1" applyFont="1" applyFill="1" applyBorder="1" applyProtection="1">
      <protection locked="0"/>
    </xf>
    <xf numFmtId="3" fontId="7" fillId="4" borderId="36" xfId="0" applyNumberFormat="1" applyFont="1" applyFill="1" applyBorder="1" applyProtection="1">
      <protection locked="0"/>
    </xf>
    <xf numFmtId="3" fontId="7" fillId="4" borderId="78" xfId="0" applyNumberFormat="1" applyFont="1" applyFill="1" applyBorder="1" applyProtection="1">
      <protection locked="0"/>
    </xf>
    <xf numFmtId="0" fontId="5" fillId="26" borderId="4" xfId="0" applyFont="1" applyFill="1" applyBorder="1" applyAlignment="1">
      <alignment horizontal="left" vertical="top" wrapText="1"/>
    </xf>
    <xf numFmtId="0" fontId="5" fillId="26" borderId="5" xfId="0" applyFont="1" applyFill="1" applyBorder="1" applyAlignment="1">
      <alignment horizontal="justify" vertical="top" wrapText="1"/>
    </xf>
    <xf numFmtId="0" fontId="5" fillId="26" borderId="5" xfId="0" applyFont="1" applyFill="1" applyBorder="1" applyAlignment="1">
      <alignment horizontal="center" vertical="top" wrapText="1"/>
    </xf>
    <xf numFmtId="0" fontId="5" fillId="26" borderId="6" xfId="0" applyFont="1" applyFill="1" applyBorder="1" applyAlignment="1">
      <alignment horizontal="justify" vertical="top" wrapText="1"/>
    </xf>
    <xf numFmtId="0" fontId="5" fillId="26" borderId="24" xfId="0" applyFont="1" applyFill="1" applyBorder="1" applyAlignment="1">
      <alignment horizontal="left" vertical="top" wrapText="1"/>
    </xf>
    <xf numFmtId="0" fontId="5" fillId="26" borderId="69" xfId="0" applyFont="1" applyFill="1" applyBorder="1" applyAlignment="1">
      <alignment horizontal="justify" vertical="top" wrapText="1"/>
    </xf>
    <xf numFmtId="0" fontId="5" fillId="26" borderId="6" xfId="0" applyFont="1" applyFill="1" applyBorder="1" applyAlignment="1">
      <alignment horizontal="center" vertical="top" wrapText="1"/>
    </xf>
    <xf numFmtId="0" fontId="5" fillId="26" borderId="69" xfId="0" applyFont="1" applyFill="1" applyBorder="1" applyAlignment="1">
      <alignment horizontal="left" vertical="top" wrapText="1"/>
    </xf>
    <xf numFmtId="0" fontId="5" fillId="26" borderId="69" xfId="0" applyFont="1" applyFill="1" applyBorder="1" applyAlignment="1">
      <alignment horizontal="center" vertical="top" wrapText="1"/>
    </xf>
    <xf numFmtId="2" fontId="3" fillId="17" borderId="6" xfId="0" applyNumberFormat="1" applyFont="1" applyFill="1" applyBorder="1" applyAlignment="1">
      <alignment vertical="top" wrapText="1"/>
    </xf>
    <xf numFmtId="2" fontId="3" fillId="17" borderId="69" xfId="0" applyNumberFormat="1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0" fillId="0" borderId="0" xfId="0"/>
    <xf numFmtId="165" fontId="8" fillId="19" borderId="146" xfId="0" applyNumberFormat="1" applyFont="1" applyFill="1" applyBorder="1"/>
    <xf numFmtId="0" fontId="52" fillId="0" borderId="0" xfId="0" applyFont="1"/>
    <xf numFmtId="0" fontId="8" fillId="0" borderId="124" xfId="0" applyFont="1" applyBorder="1"/>
    <xf numFmtId="0" fontId="0" fillId="0" borderId="124" xfId="0" applyBorder="1"/>
    <xf numFmtId="0" fontId="0" fillId="0" borderId="34" xfId="0" applyBorder="1"/>
    <xf numFmtId="0" fontId="0" fillId="17" borderId="112" xfId="0" applyFill="1" applyBorder="1"/>
    <xf numFmtId="0" fontId="0" fillId="0" borderId="0" xfId="0"/>
    <xf numFmtId="0" fontId="0" fillId="17" borderId="112" xfId="0" applyFill="1" applyBorder="1"/>
    <xf numFmtId="0" fontId="0" fillId="0" borderId="0" xfId="0"/>
    <xf numFmtId="0" fontId="0" fillId="0" borderId="0" xfId="0"/>
    <xf numFmtId="164" fontId="38" fillId="17" borderId="165" xfId="0" applyNumberFormat="1" applyFont="1" applyFill="1" applyBorder="1" applyAlignment="1">
      <alignment horizontal="left" vertical="center"/>
    </xf>
    <xf numFmtId="0" fontId="38" fillId="17" borderId="166" xfId="0" applyFont="1" applyFill="1" applyBorder="1" applyAlignment="1">
      <alignment horizontal="left" vertical="center"/>
    </xf>
    <xf numFmtId="164" fontId="38" fillId="17" borderId="168" xfId="0" applyNumberFormat="1" applyFont="1" applyFill="1" applyBorder="1" applyAlignment="1">
      <alignment horizontal="left" vertical="center"/>
    </xf>
    <xf numFmtId="0" fontId="35" fillId="12" borderId="69" xfId="0" applyFont="1" applyFill="1" applyBorder="1" applyAlignment="1">
      <alignment horizontal="left" vertical="center"/>
    </xf>
    <xf numFmtId="0" fontId="38" fillId="17" borderId="166" xfId="0" applyFont="1" applyFill="1" applyBorder="1" applyAlignment="1">
      <alignment horizontal="center" vertical="center"/>
    </xf>
    <xf numFmtId="0" fontId="38" fillId="17" borderId="134" xfId="0" applyFont="1" applyFill="1" applyBorder="1" applyAlignment="1">
      <alignment horizontal="center" vertical="center"/>
    </xf>
    <xf numFmtId="164" fontId="53" fillId="20" borderId="167" xfId="0" applyNumberFormat="1" applyFont="1" applyFill="1" applyBorder="1" applyAlignment="1">
      <alignment horizontal="center" vertical="center" wrapText="1"/>
    </xf>
    <xf numFmtId="0" fontId="35" fillId="12" borderId="69" xfId="0" applyFont="1" applyFill="1" applyBorder="1" applyAlignment="1">
      <alignment horizontal="center" vertical="center"/>
    </xf>
    <xf numFmtId="164" fontId="38" fillId="17" borderId="166" xfId="0" applyNumberFormat="1" applyFont="1" applyFill="1" applyBorder="1" applyAlignment="1">
      <alignment horizontal="center" vertical="center"/>
    </xf>
    <xf numFmtId="164" fontId="38" fillId="17" borderId="134" xfId="0" applyNumberFormat="1" applyFont="1" applyFill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165" fontId="58" fillId="19" borderId="22" xfId="0" applyNumberFormat="1" applyFont="1" applyFill="1" applyBorder="1"/>
    <xf numFmtId="165" fontId="58" fillId="19" borderId="124" xfId="0" applyNumberFormat="1" applyFont="1" applyFill="1" applyBorder="1"/>
    <xf numFmtId="165" fontId="58" fillId="19" borderId="146" xfId="0" applyNumberFormat="1" applyFont="1" applyFill="1" applyBorder="1"/>
    <xf numFmtId="165" fontId="54" fillId="22" borderId="22" xfId="0" applyNumberFormat="1" applyFont="1" applyFill="1" applyBorder="1"/>
    <xf numFmtId="165" fontId="54" fillId="22" borderId="124" xfId="0" applyNumberFormat="1" applyFont="1" applyFill="1" applyBorder="1"/>
    <xf numFmtId="165" fontId="54" fillId="22" borderId="146" xfId="0" applyNumberFormat="1" applyFont="1" applyFill="1" applyBorder="1"/>
    <xf numFmtId="165" fontId="59" fillId="21" borderId="22" xfId="0" applyNumberFormat="1" applyFont="1" applyFill="1" applyBorder="1"/>
    <xf numFmtId="165" fontId="59" fillId="21" borderId="124" xfId="0" applyNumberFormat="1" applyFont="1" applyFill="1" applyBorder="1"/>
    <xf numFmtId="165" fontId="59" fillId="21" borderId="146" xfId="0" applyNumberFormat="1" applyFont="1" applyFill="1" applyBorder="1"/>
    <xf numFmtId="165" fontId="59" fillId="21" borderId="22" xfId="0" applyNumberFormat="1" applyFont="1" applyFill="1" applyBorder="1" applyAlignment="1">
      <alignment horizontal="center"/>
    </xf>
    <xf numFmtId="165" fontId="59" fillId="21" borderId="124" xfId="0" applyNumberFormat="1" applyFont="1" applyFill="1" applyBorder="1" applyAlignment="1">
      <alignment horizontal="center"/>
    </xf>
    <xf numFmtId="165" fontId="59" fillId="21" borderId="146" xfId="0" applyNumberFormat="1" applyFont="1" applyFill="1" applyBorder="1" applyAlignment="1">
      <alignment horizontal="center"/>
    </xf>
    <xf numFmtId="165" fontId="59" fillId="21" borderId="86" xfId="0" applyNumberFormat="1" applyFont="1" applyFill="1" applyBorder="1"/>
    <xf numFmtId="165" fontId="59" fillId="21" borderId="121" xfId="0" applyNumberFormat="1" applyFont="1" applyFill="1" applyBorder="1"/>
    <xf numFmtId="165" fontId="59" fillId="21" borderId="154" xfId="0" applyNumberFormat="1" applyFont="1" applyFill="1" applyBorder="1"/>
    <xf numFmtId="165" fontId="59" fillId="21" borderId="147" xfId="0" applyNumberFormat="1" applyFont="1" applyFill="1" applyBorder="1"/>
    <xf numFmtId="0" fontId="63" fillId="13" borderId="6" xfId="0" applyFont="1" applyFill="1" applyBorder="1" applyAlignment="1">
      <alignment horizontal="center" vertical="center"/>
    </xf>
    <xf numFmtId="3" fontId="64" fillId="14" borderId="28" xfId="0" applyNumberFormat="1" applyFont="1" applyFill="1" applyBorder="1" applyAlignment="1">
      <alignment horizontal="center" vertical="center"/>
    </xf>
    <xf numFmtId="3" fontId="64" fillId="14" borderId="30" xfId="0" applyNumberFormat="1" applyFont="1" applyFill="1" applyBorder="1" applyAlignment="1">
      <alignment horizontal="center" vertical="center"/>
    </xf>
    <xf numFmtId="0" fontId="63" fillId="22" borderId="24" xfId="0" applyFont="1" applyFill="1" applyBorder="1" applyAlignment="1">
      <alignment horizontal="center" vertical="center"/>
    </xf>
    <xf numFmtId="0" fontId="63" fillId="22" borderId="6" xfId="0" applyFont="1" applyFill="1" applyBorder="1" applyAlignment="1">
      <alignment horizontal="center" vertical="center"/>
    </xf>
    <xf numFmtId="3" fontId="63" fillId="22" borderId="24" xfId="0" applyNumberFormat="1" applyFont="1" applyFill="1" applyBorder="1" applyAlignment="1">
      <alignment horizontal="center" vertical="center"/>
    </xf>
    <xf numFmtId="3" fontId="63" fillId="22" borderId="6" xfId="0" applyNumberFormat="1" applyFont="1" applyFill="1" applyBorder="1" applyAlignment="1">
      <alignment horizontal="center" vertical="center"/>
    </xf>
    <xf numFmtId="0" fontId="63" fillId="22" borderId="130" xfId="0" applyFont="1" applyFill="1" applyBorder="1" applyAlignment="1">
      <alignment horizontal="center" vertical="center"/>
    </xf>
    <xf numFmtId="0" fontId="63" fillId="22" borderId="129" xfId="0" applyFont="1" applyFill="1" applyBorder="1" applyAlignment="1">
      <alignment horizontal="center" vertical="center"/>
    </xf>
    <xf numFmtId="0" fontId="34" fillId="17" borderId="24" xfId="0" applyFont="1" applyFill="1" applyBorder="1" applyAlignment="1">
      <alignment horizontal="center" vertical="center"/>
    </xf>
    <xf numFmtId="0" fontId="34" fillId="17" borderId="130" xfId="0" applyFont="1" applyFill="1" applyBorder="1" applyAlignment="1">
      <alignment horizontal="center" vertical="center"/>
    </xf>
    <xf numFmtId="0" fontId="34" fillId="17" borderId="131" xfId="0" applyFont="1" applyFill="1" applyBorder="1" applyAlignment="1">
      <alignment horizontal="center" vertical="center"/>
    </xf>
    <xf numFmtId="0" fontId="34" fillId="17" borderId="91" xfId="0" applyFont="1" applyFill="1" applyBorder="1" applyAlignment="1">
      <alignment horizontal="center"/>
    </xf>
    <xf numFmtId="0" fontId="34" fillId="17" borderId="135" xfId="0" applyFont="1" applyFill="1" applyBorder="1" applyAlignment="1">
      <alignment horizontal="center"/>
    </xf>
    <xf numFmtId="0" fontId="34" fillId="17" borderId="92" xfId="0" applyFont="1" applyFill="1" applyBorder="1" applyAlignment="1">
      <alignment horizontal="center"/>
    </xf>
    <xf numFmtId="0" fontId="60" fillId="22" borderId="65" xfId="0" applyFont="1" applyFill="1" applyBorder="1" applyAlignment="1">
      <alignment horizontal="center" vertical="center"/>
    </xf>
    <xf numFmtId="0" fontId="60" fillId="22" borderId="64" xfId="0" applyFont="1" applyFill="1" applyBorder="1" applyAlignment="1">
      <alignment horizontal="center" vertical="center"/>
    </xf>
    <xf numFmtId="0" fontId="54" fillId="22" borderId="118" xfId="0" applyFont="1" applyFill="1" applyBorder="1"/>
    <xf numFmtId="0" fontId="54" fillId="22" borderId="60" xfId="0" applyFont="1" applyFill="1" applyBorder="1"/>
    <xf numFmtId="0" fontId="54" fillId="22" borderId="22" xfId="0" applyFont="1" applyFill="1" applyBorder="1"/>
    <xf numFmtId="0" fontId="54" fillId="22" borderId="112" xfId="0" applyFont="1" applyFill="1" applyBorder="1"/>
    <xf numFmtId="0" fontId="54" fillId="22" borderId="86" xfId="0" applyFont="1" applyFill="1" applyBorder="1"/>
    <xf numFmtId="0" fontId="54" fillId="22" borderId="115" xfId="0" applyFont="1" applyFill="1" applyBorder="1"/>
    <xf numFmtId="0" fontId="54" fillId="22" borderId="114" xfId="0" applyFont="1" applyFill="1" applyBorder="1"/>
    <xf numFmtId="4" fontId="62" fillId="24" borderId="51" xfId="0" applyNumberFormat="1" applyFont="1" applyFill="1" applyBorder="1" applyAlignment="1">
      <alignment horizontal="right" vertical="top" wrapText="1"/>
    </xf>
    <xf numFmtId="4" fontId="62" fillId="24" borderId="42" xfId="0" applyNumberFormat="1" applyFont="1" applyFill="1" applyBorder="1" applyAlignment="1">
      <alignment horizontal="right" vertical="top" wrapText="1"/>
    </xf>
    <xf numFmtId="4" fontId="62" fillId="24" borderId="52" xfId="0" applyNumberFormat="1" applyFont="1" applyFill="1" applyBorder="1" applyAlignment="1">
      <alignment horizontal="right" vertical="top" wrapText="1"/>
    </xf>
    <xf numFmtId="4" fontId="62" fillId="24" borderId="105" xfId="0" applyNumberFormat="1" applyFont="1" applyFill="1" applyBorder="1" applyAlignment="1">
      <alignment horizontal="right" vertical="top" wrapText="1"/>
    </xf>
    <xf numFmtId="4" fontId="62" fillId="24" borderId="95" xfId="0" applyNumberFormat="1" applyFont="1" applyFill="1" applyBorder="1" applyAlignment="1">
      <alignment horizontal="right" vertical="top" wrapText="1"/>
    </xf>
    <xf numFmtId="4" fontId="62" fillId="24" borderId="108" xfId="0" applyNumberFormat="1" applyFont="1" applyFill="1" applyBorder="1" applyAlignment="1">
      <alignment horizontal="right" vertical="top" wrapText="1"/>
    </xf>
    <xf numFmtId="4" fontId="62" fillId="24" borderId="106" xfId="0" applyNumberFormat="1" applyFont="1" applyFill="1" applyBorder="1" applyAlignment="1">
      <alignment horizontal="right" vertical="top" wrapText="1"/>
    </xf>
    <xf numFmtId="4" fontId="62" fillId="24" borderId="46" xfId="0" applyNumberFormat="1" applyFont="1" applyFill="1" applyBorder="1" applyAlignment="1">
      <alignment horizontal="right" vertical="top" wrapText="1"/>
    </xf>
    <xf numFmtId="4" fontId="62" fillId="24" borderId="45" xfId="0" applyNumberFormat="1" applyFont="1" applyFill="1" applyBorder="1" applyAlignment="1">
      <alignment horizontal="right" vertical="top" wrapText="1"/>
    </xf>
    <xf numFmtId="4" fontId="61" fillId="24" borderId="26" xfId="0" applyNumberFormat="1" applyFont="1" applyFill="1" applyBorder="1" applyAlignment="1">
      <alignment horizontal="right" vertical="top" wrapText="1"/>
    </xf>
    <xf numFmtId="4" fontId="62" fillId="24" borderId="44" xfId="0" applyNumberFormat="1" applyFont="1" applyFill="1" applyBorder="1" applyAlignment="1">
      <alignment horizontal="right" vertical="top" wrapText="1"/>
    </xf>
    <xf numFmtId="4" fontId="62" fillId="24" borderId="107" xfId="0" applyNumberFormat="1" applyFont="1" applyFill="1" applyBorder="1" applyAlignment="1">
      <alignment horizontal="right" vertical="top" wrapText="1"/>
    </xf>
    <xf numFmtId="4" fontId="62" fillId="24" borderId="43" xfId="0" applyNumberFormat="1" applyFont="1" applyFill="1" applyBorder="1" applyAlignment="1">
      <alignment horizontal="right" vertical="top" wrapText="1"/>
    </xf>
    <xf numFmtId="0" fontId="62" fillId="24" borderId="70" xfId="0" applyFont="1" applyFill="1" applyBorder="1" applyAlignment="1">
      <alignment horizontal="left" vertical="top" wrapText="1"/>
    </xf>
    <xf numFmtId="165" fontId="62" fillId="24" borderId="109" xfId="0" applyNumberFormat="1" applyFont="1" applyFill="1" applyBorder="1" applyAlignment="1">
      <alignment horizontal="right" vertical="top" wrapText="1"/>
    </xf>
    <xf numFmtId="165" fontId="62" fillId="24" borderId="110" xfId="0" applyNumberFormat="1" applyFont="1" applyFill="1" applyBorder="1" applyAlignment="1">
      <alignment horizontal="right" vertical="top" wrapText="1"/>
    </xf>
    <xf numFmtId="165" fontId="62" fillId="24" borderId="111" xfId="0" applyNumberFormat="1" applyFont="1" applyFill="1" applyBorder="1" applyAlignment="1">
      <alignment horizontal="right" vertical="top" wrapText="1"/>
    </xf>
    <xf numFmtId="165" fontId="62" fillId="24" borderId="47" xfId="0" applyNumberFormat="1" applyFont="1" applyFill="1" applyBorder="1" applyAlignment="1">
      <alignment horizontal="right" vertical="top" wrapText="1"/>
    </xf>
    <xf numFmtId="165" fontId="62" fillId="24" borderId="48" xfId="0" applyNumberFormat="1" applyFont="1" applyFill="1" applyBorder="1" applyAlignment="1">
      <alignment horizontal="right" vertical="top" wrapText="1"/>
    </xf>
    <xf numFmtId="165" fontId="62" fillId="24" borderId="49" xfId="0" applyNumberFormat="1" applyFont="1" applyFill="1" applyBorder="1" applyAlignment="1">
      <alignment horizontal="right" vertical="top" wrapText="1"/>
    </xf>
    <xf numFmtId="0" fontId="39" fillId="14" borderId="26" xfId="0" applyFont="1" applyFill="1" applyBorder="1"/>
    <xf numFmtId="0" fontId="35" fillId="12" borderId="8" xfId="0" applyFont="1" applyFill="1" applyBorder="1" applyAlignment="1">
      <alignment horizontal="center" vertical="center" wrapText="1"/>
    </xf>
    <xf numFmtId="0" fontId="63" fillId="13" borderId="5" xfId="0" applyFont="1" applyFill="1" applyBorder="1" applyAlignment="1">
      <alignment horizontal="center" vertical="center"/>
    </xf>
    <xf numFmtId="0" fontId="41" fillId="17" borderId="169" xfId="0" applyFont="1" applyFill="1" applyBorder="1" applyAlignment="1">
      <alignment horizontal="center" vertical="center"/>
    </xf>
    <xf numFmtId="0" fontId="41" fillId="17" borderId="170" xfId="0" applyFont="1" applyFill="1" applyBorder="1" applyAlignment="1">
      <alignment horizontal="center" vertical="center"/>
    </xf>
    <xf numFmtId="0" fontId="41" fillId="17" borderId="171" xfId="0" applyFont="1" applyFill="1" applyBorder="1" applyAlignment="1">
      <alignment horizontal="center" vertical="center"/>
    </xf>
    <xf numFmtId="0" fontId="41" fillId="17" borderId="172" xfId="0" applyFont="1" applyFill="1" applyBorder="1" applyAlignment="1">
      <alignment horizontal="center" vertical="center"/>
    </xf>
    <xf numFmtId="0" fontId="41" fillId="17" borderId="173" xfId="0" applyFont="1" applyFill="1" applyBorder="1" applyAlignment="1">
      <alignment horizontal="center" vertical="center"/>
    </xf>
    <xf numFmtId="0" fontId="41" fillId="17" borderId="174" xfId="0" applyFont="1" applyFill="1" applyBorder="1" applyAlignment="1">
      <alignment horizontal="center" vertical="center"/>
    </xf>
    <xf numFmtId="0" fontId="41" fillId="17" borderId="175" xfId="0" applyFont="1" applyFill="1" applyBorder="1" applyAlignment="1">
      <alignment horizontal="center" vertical="center"/>
    </xf>
    <xf numFmtId="0" fontId="41" fillId="17" borderId="176" xfId="0" applyFont="1" applyFill="1" applyBorder="1" applyAlignment="1">
      <alignment horizontal="center" vertical="center"/>
    </xf>
    <xf numFmtId="0" fontId="41" fillId="17" borderId="17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65" fontId="59" fillId="0" borderId="121" xfId="0" applyNumberFormat="1" applyFont="1" applyBorder="1"/>
    <xf numFmtId="165" fontId="59" fillId="0" borderId="18" xfId="0" applyNumberFormat="1" applyFont="1" applyBorder="1"/>
    <xf numFmtId="165" fontId="54" fillId="22" borderId="22" xfId="0" applyNumberFormat="1" applyFont="1" applyFill="1" applyBorder="1" applyAlignment="1">
      <alignment horizontal="center"/>
    </xf>
    <xf numFmtId="165" fontId="59" fillId="21" borderId="86" xfId="0" applyNumberFormat="1" applyFont="1" applyFill="1" applyBorder="1" applyAlignment="1">
      <alignment horizontal="center"/>
    </xf>
    <xf numFmtId="165" fontId="58" fillId="19" borderId="22" xfId="0" applyNumberFormat="1" applyFont="1" applyFill="1" applyBorder="1" applyAlignment="1">
      <alignment horizontal="center"/>
    </xf>
    <xf numFmtId="165" fontId="59" fillId="22" borderId="22" xfId="0" applyNumberFormat="1" applyFont="1" applyFill="1" applyBorder="1"/>
    <xf numFmtId="165" fontId="59" fillId="22" borderId="124" xfId="0" applyNumberFormat="1" applyFont="1" applyFill="1" applyBorder="1"/>
    <xf numFmtId="165" fontId="32" fillId="0" borderId="18" xfId="0" applyNumberFormat="1" applyFont="1" applyBorder="1"/>
    <xf numFmtId="165" fontId="32" fillId="0" borderId="23" xfId="0" applyNumberFormat="1" applyFont="1" applyBorder="1"/>
    <xf numFmtId="0" fontId="35" fillId="12" borderId="0" xfId="0" applyFont="1" applyFill="1" applyAlignment="1">
      <alignment vertical="center" wrapText="1"/>
    </xf>
    <xf numFmtId="0" fontId="0" fillId="18" borderId="0" xfId="0" applyFill="1" applyAlignment="1">
      <alignment horizontal="center" vertical="top" wrapText="1"/>
    </xf>
    <xf numFmtId="0" fontId="0" fillId="18" borderId="6" xfId="0" applyFill="1" applyBorder="1" applyAlignment="1">
      <alignment horizontal="center" vertical="top" wrapText="1"/>
    </xf>
    <xf numFmtId="0" fontId="0" fillId="18" borderId="24" xfId="0" applyFill="1" applyBorder="1" applyAlignment="1">
      <alignment horizontal="center" vertical="top" wrapText="1"/>
    </xf>
    <xf numFmtId="0" fontId="35" fillId="12" borderId="14" xfId="0" applyFont="1" applyFill="1" applyBorder="1" applyAlignment="1">
      <alignment horizontal="center" vertical="center" wrapText="1"/>
    </xf>
    <xf numFmtId="0" fontId="35" fillId="12" borderId="23" xfId="0" applyFont="1" applyFill="1" applyBorder="1" applyAlignment="1">
      <alignment horizontal="center" vertical="center" wrapText="1"/>
    </xf>
    <xf numFmtId="0" fontId="35" fillId="12" borderId="13" xfId="0" applyFont="1" applyFill="1" applyBorder="1" applyAlignment="1">
      <alignment horizontal="center" vertical="center" wrapText="1"/>
    </xf>
    <xf numFmtId="0" fontId="8" fillId="0" borderId="153" xfId="0" applyFont="1" applyBorder="1"/>
    <xf numFmtId="0" fontId="8" fillId="0" borderId="149" xfId="0" applyFont="1" applyBorder="1"/>
    <xf numFmtId="0" fontId="8" fillId="0" borderId="151" xfId="0" applyFont="1" applyBorder="1"/>
    <xf numFmtId="0" fontId="65" fillId="0" borderId="180" xfId="0" applyFont="1" applyBorder="1"/>
    <xf numFmtId="0" fontId="0" fillId="0" borderId="113" xfId="0" applyBorder="1"/>
    <xf numFmtId="0" fontId="65" fillId="0" borderId="113" xfId="0" applyFont="1" applyBorder="1" applyAlignment="1">
      <alignment horizontal="left" vertical="center" wrapText="1"/>
    </xf>
    <xf numFmtId="0" fontId="65" fillId="0" borderId="181" xfId="0" applyFont="1" applyBorder="1" applyAlignment="1">
      <alignment horizontal="left" vertical="center" wrapText="1"/>
    </xf>
    <xf numFmtId="0" fontId="65" fillId="0" borderId="182" xfId="0" applyFont="1" applyBorder="1" applyAlignment="1">
      <alignment horizontal="left" vertical="center" wrapText="1"/>
    </xf>
    <xf numFmtId="0" fontId="0" fillId="0" borderId="22" xfId="0" applyBorder="1"/>
    <xf numFmtId="0" fontId="65" fillId="0" borderId="22" xfId="0" applyFont="1" applyBorder="1" applyAlignment="1">
      <alignment horizontal="left" vertical="center" wrapText="1"/>
    </xf>
    <xf numFmtId="0" fontId="65" fillId="0" borderId="38" xfId="0" applyFont="1" applyBorder="1" applyAlignment="1">
      <alignment horizontal="left" vertical="center" wrapText="1"/>
    </xf>
    <xf numFmtId="0" fontId="0" fillId="0" borderId="38" xfId="0" applyBorder="1"/>
    <xf numFmtId="0" fontId="65" fillId="0" borderId="183" xfId="0" applyFont="1" applyBorder="1" applyAlignment="1">
      <alignment horizontal="left" vertical="center" wrapText="1"/>
    </xf>
    <xf numFmtId="2" fontId="0" fillId="0" borderId="86" xfId="0" applyNumberFormat="1" applyBorder="1" applyAlignment="1">
      <alignment horizontal="right" vertical="center" wrapText="1"/>
    </xf>
    <xf numFmtId="0" fontId="0" fillId="0" borderId="86" xfId="0" applyBorder="1"/>
    <xf numFmtId="0" fontId="0" fillId="0" borderId="39" xfId="0" applyBorder="1"/>
    <xf numFmtId="0" fontId="0" fillId="0" borderId="153" xfId="0" applyBorder="1"/>
    <xf numFmtId="4" fontId="0" fillId="0" borderId="149" xfId="0" applyNumberFormat="1" applyBorder="1"/>
    <xf numFmtId="0" fontId="0" fillId="0" borderId="149" xfId="0" applyBorder="1"/>
    <xf numFmtId="0" fontId="0" fillId="0" borderId="151" xfId="0" applyBorder="1"/>
    <xf numFmtId="0" fontId="32" fillId="0" borderId="0" xfId="0" applyFont="1"/>
    <xf numFmtId="0" fontId="0" fillId="27" borderId="22" xfId="0" applyFill="1" applyBorder="1"/>
    <xf numFmtId="0" fontId="39" fillId="14" borderId="28" xfId="0" applyFont="1" applyFill="1" applyBorder="1" applyAlignment="1">
      <alignment horizontal="center" vertical="center"/>
    </xf>
    <xf numFmtId="0" fontId="39" fillId="14" borderId="30" xfId="0" applyFont="1" applyFill="1" applyBorder="1" applyAlignment="1">
      <alignment horizontal="center" vertical="center"/>
    </xf>
    <xf numFmtId="3" fontId="13" fillId="5" borderId="184" xfId="0" applyNumberFormat="1" applyFont="1" applyFill="1" applyBorder="1" applyAlignment="1">
      <alignment vertical="top" wrapText="1"/>
    </xf>
    <xf numFmtId="3" fontId="13" fillId="5" borderId="185" xfId="0" applyNumberFormat="1" applyFont="1" applyFill="1" applyBorder="1" applyAlignment="1">
      <alignment vertical="top" wrapText="1"/>
    </xf>
    <xf numFmtId="3" fontId="13" fillId="5" borderId="136" xfId="0" applyNumberFormat="1" applyFont="1" applyFill="1" applyBorder="1" applyAlignment="1">
      <alignment vertical="top" wrapText="1"/>
    </xf>
    <xf numFmtId="3" fontId="13" fillId="5" borderId="0" xfId="0" applyNumberFormat="1" applyFont="1" applyFill="1" applyAlignment="1">
      <alignment vertical="top" wrapText="1"/>
    </xf>
    <xf numFmtId="0" fontId="41" fillId="0" borderId="1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63" fillId="22" borderId="186" xfId="0" applyFont="1" applyFill="1" applyBorder="1" applyAlignment="1">
      <alignment horizontal="center" vertical="center"/>
    </xf>
    <xf numFmtId="0" fontId="34" fillId="17" borderId="187" xfId="0" applyFont="1" applyFill="1" applyBorder="1" applyAlignment="1">
      <alignment horizontal="center" vertical="center"/>
    </xf>
    <xf numFmtId="0" fontId="63" fillId="22" borderId="188" xfId="0" applyFont="1" applyFill="1" applyBorder="1" applyAlignment="1">
      <alignment horizontal="center" vertical="center"/>
    </xf>
    <xf numFmtId="3" fontId="13" fillId="5" borderId="103" xfId="0" applyNumberFormat="1" applyFont="1" applyFill="1" applyBorder="1" applyAlignment="1">
      <alignment vertical="top" wrapText="1"/>
    </xf>
    <xf numFmtId="0" fontId="35" fillId="12" borderId="14" xfId="0" applyFont="1" applyFill="1" applyBorder="1" applyAlignment="1">
      <alignment horizontal="left" vertical="center"/>
    </xf>
    <xf numFmtId="0" fontId="66" fillId="17" borderId="164" xfId="0" applyFont="1" applyFill="1" applyBorder="1" applyAlignment="1">
      <alignment horizontal="left" vertical="center"/>
    </xf>
    <xf numFmtId="0" fontId="1" fillId="17" borderId="164" xfId="0" applyFont="1" applyFill="1" applyBorder="1" applyAlignment="1">
      <alignment horizontal="left" vertical="center"/>
    </xf>
    <xf numFmtId="0" fontId="67" fillId="17" borderId="164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4" fillId="0" borderId="80" xfId="0" applyFont="1" applyBorder="1"/>
    <xf numFmtId="0" fontId="39" fillId="14" borderId="69" xfId="0" applyFont="1" applyFill="1" applyBorder="1"/>
    <xf numFmtId="0" fontId="41" fillId="0" borderId="14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34" fillId="0" borderId="24" xfId="0" applyFont="1" applyBorder="1"/>
    <xf numFmtId="0" fontId="34" fillId="0" borderId="6" xfId="0" applyFont="1" applyBorder="1" applyAlignment="1">
      <alignment horizontal="center" vertical="center"/>
    </xf>
    <xf numFmtId="0" fontId="34" fillId="17" borderId="134" xfId="0" applyFont="1" applyFill="1" applyBorder="1" applyAlignment="1">
      <alignment horizontal="center" vertical="center"/>
    </xf>
    <xf numFmtId="0" fontId="34" fillId="0" borderId="134" xfId="0" applyFont="1" applyBorder="1" applyAlignment="1">
      <alignment horizontal="center" vertical="center"/>
    </xf>
    <xf numFmtId="0" fontId="39" fillId="14" borderId="15" xfId="0" applyFont="1" applyFill="1" applyBorder="1" applyAlignment="1">
      <alignment horizontal="center" vertical="center"/>
    </xf>
    <xf numFmtId="0" fontId="39" fillId="14" borderId="5" xfId="0" applyFont="1" applyFill="1" applyBorder="1" applyAlignment="1">
      <alignment horizontal="center" vertical="center"/>
    </xf>
    <xf numFmtId="3" fontId="13" fillId="5" borderId="137" xfId="0" applyNumberFormat="1" applyFont="1" applyFill="1" applyBorder="1" applyAlignment="1">
      <alignment vertical="top" wrapText="1"/>
    </xf>
    <xf numFmtId="3" fontId="13" fillId="5" borderId="167" xfId="0" applyNumberFormat="1" applyFont="1" applyFill="1" applyBorder="1" applyAlignment="1">
      <alignment vertical="top" wrapText="1"/>
    </xf>
    <xf numFmtId="3" fontId="13" fillId="5" borderId="189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4" fillId="17" borderId="173" xfId="0" applyFont="1" applyFill="1" applyBorder="1" applyAlignment="1">
      <alignment horizontal="center" vertical="center"/>
    </xf>
    <xf numFmtId="0" fontId="34" fillId="17" borderId="174" xfId="0" applyFont="1" applyFill="1" applyBorder="1" applyAlignment="1">
      <alignment horizontal="center" vertical="center"/>
    </xf>
    <xf numFmtId="3" fontId="0" fillId="28" borderId="113" xfId="0" applyNumberFormat="1" applyFill="1" applyBorder="1" applyAlignment="1">
      <alignment horizontal="right"/>
    </xf>
    <xf numFmtId="2" fontId="0" fillId="28" borderId="113" xfId="0" applyNumberFormat="1" applyFill="1" applyBorder="1" applyAlignment="1">
      <alignment horizontal="right"/>
    </xf>
    <xf numFmtId="2" fontId="0" fillId="28" borderId="22" xfId="0" applyNumberFormat="1" applyFill="1" applyBorder="1" applyAlignment="1">
      <alignment horizontal="right"/>
    </xf>
    <xf numFmtId="2" fontId="0" fillId="28" borderId="22" xfId="0" applyNumberForma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9" fontId="0" fillId="0" borderId="14" xfId="0" applyNumberFormat="1" applyBorder="1" applyAlignment="1">
      <alignment horizontal="center" vertical="center" wrapText="1"/>
    </xf>
    <xf numFmtId="169" fontId="0" fillId="0" borderId="23" xfId="0" applyNumberFormat="1" applyBorder="1" applyAlignment="1">
      <alignment horizontal="center" vertical="center" wrapText="1"/>
    </xf>
    <xf numFmtId="169" fontId="0" fillId="0" borderId="13" xfId="0" applyNumberFormat="1" applyBorder="1" applyAlignment="1">
      <alignment horizontal="center" vertical="center" wrapText="1"/>
    </xf>
    <xf numFmtId="169" fontId="13" fillId="5" borderId="84" xfId="0" applyNumberFormat="1" applyFont="1" applyFill="1" applyBorder="1" applyAlignment="1">
      <alignment horizontal="center" vertical="center" wrapText="1"/>
    </xf>
    <xf numFmtId="169" fontId="13" fillId="5" borderId="53" xfId="0" applyNumberFormat="1" applyFont="1" applyFill="1" applyBorder="1" applyAlignment="1">
      <alignment horizontal="center" vertical="center" wrapText="1"/>
    </xf>
    <xf numFmtId="169" fontId="53" fillId="20" borderId="53" xfId="0" applyNumberFormat="1" applyFont="1" applyFill="1" applyBorder="1" applyAlignment="1">
      <alignment horizontal="center" vertical="center" wrapText="1"/>
    </xf>
    <xf numFmtId="169" fontId="0" fillId="0" borderId="24" xfId="0" applyNumberForma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0" fillId="0" borderId="6" xfId="0" applyNumberFormat="1" applyBorder="1" applyAlignment="1">
      <alignment horizontal="center" vertical="center" wrapText="1"/>
    </xf>
    <xf numFmtId="169" fontId="13" fillId="5" borderId="41" xfId="0" applyNumberFormat="1" applyFont="1" applyFill="1" applyBorder="1" applyAlignment="1">
      <alignment horizontal="center" vertical="center" wrapText="1"/>
    </xf>
    <xf numFmtId="169" fontId="13" fillId="5" borderId="17" xfId="0" applyNumberFormat="1" applyFont="1" applyFill="1" applyBorder="1" applyAlignment="1">
      <alignment horizontal="center" vertical="center" wrapText="1"/>
    </xf>
    <xf numFmtId="169" fontId="53" fillId="20" borderId="17" xfId="0" applyNumberFormat="1" applyFont="1" applyFill="1" applyBorder="1" applyAlignment="1">
      <alignment horizontal="center" vertical="center" wrapText="1"/>
    </xf>
    <xf numFmtId="169" fontId="0" fillId="0" borderId="15" xfId="0" applyNumberFormat="1" applyBorder="1" applyAlignment="1">
      <alignment horizontal="center" vertical="center" wrapText="1"/>
    </xf>
    <xf numFmtId="169" fontId="0" fillId="0" borderId="26" xfId="0" applyNumberFormat="1" applyBorder="1" applyAlignment="1">
      <alignment horizontal="center" vertical="center" wrapText="1"/>
    </xf>
    <xf numFmtId="169" fontId="0" fillId="0" borderId="5" xfId="0" applyNumberFormat="1" applyBorder="1" applyAlignment="1">
      <alignment horizontal="center" vertical="center" wrapText="1"/>
    </xf>
    <xf numFmtId="169" fontId="13" fillId="5" borderId="85" xfId="0" applyNumberFormat="1" applyFont="1" applyFill="1" applyBorder="1" applyAlignment="1">
      <alignment horizontal="center" vertical="center" wrapText="1"/>
    </xf>
    <xf numFmtId="169" fontId="53" fillId="20" borderId="56" xfId="0" applyNumberFormat="1" applyFont="1" applyFill="1" applyBorder="1" applyAlignment="1">
      <alignment horizontal="center" vertical="center" wrapText="1"/>
    </xf>
    <xf numFmtId="0" fontId="71" fillId="17" borderId="134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23" fillId="3" borderId="6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8" borderId="62" xfId="0" applyFont="1" applyFill="1" applyBorder="1" applyAlignment="1">
      <alignment horizontal="right" vertical="center" wrapText="1"/>
    </xf>
    <xf numFmtId="0" fontId="16" fillId="8" borderId="34" xfId="0" applyFont="1" applyFill="1" applyBorder="1" applyAlignment="1">
      <alignment horizontal="right" vertical="center" wrapText="1"/>
    </xf>
    <xf numFmtId="0" fontId="18" fillId="17" borderId="22" xfId="0" applyFont="1" applyFill="1" applyBorder="1" applyAlignment="1">
      <alignment horizontal="left" vertical="center" wrapText="1"/>
    </xf>
    <xf numFmtId="0" fontId="18" fillId="17" borderId="38" xfId="0" applyFont="1" applyFill="1" applyBorder="1" applyAlignment="1">
      <alignment horizontal="left" vertical="center" wrapText="1"/>
    </xf>
    <xf numFmtId="0" fontId="16" fillId="8" borderId="63" xfId="0" applyFont="1" applyFill="1" applyBorder="1" applyAlignment="1">
      <alignment horizontal="right" vertical="center" wrapText="1"/>
    </xf>
    <xf numFmtId="0" fontId="16" fillId="8" borderId="64" xfId="0" applyFont="1" applyFill="1" applyBorder="1" applyAlignment="1">
      <alignment horizontal="right" vertical="center" wrapText="1"/>
    </xf>
    <xf numFmtId="0" fontId="18" fillId="17" borderId="65" xfId="0" applyFont="1" applyFill="1" applyBorder="1" applyAlignment="1">
      <alignment horizontal="left" vertical="center"/>
    </xf>
    <xf numFmtId="0" fontId="18" fillId="17" borderId="66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3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6" fillId="8" borderId="58" xfId="0" applyFont="1" applyFill="1" applyBorder="1" applyAlignment="1">
      <alignment horizontal="right" vertical="center" wrapText="1"/>
    </xf>
    <xf numFmtId="0" fontId="16" fillId="8" borderId="59" xfId="0" applyFont="1" applyFill="1" applyBorder="1" applyAlignment="1">
      <alignment horizontal="right" vertical="center" wrapText="1"/>
    </xf>
    <xf numFmtId="0" fontId="17" fillId="17" borderId="60" xfId="0" applyFont="1" applyFill="1" applyBorder="1" applyAlignment="1">
      <alignment horizontal="center" vertical="center" wrapText="1"/>
    </xf>
    <xf numFmtId="0" fontId="17" fillId="17" borderId="61" xfId="0" applyFont="1" applyFill="1" applyBorder="1" applyAlignment="1">
      <alignment horizontal="center" vertical="center" wrapText="1"/>
    </xf>
    <xf numFmtId="0" fontId="33" fillId="19" borderId="21" xfId="0" applyFont="1" applyFill="1" applyBorder="1" applyAlignment="1">
      <alignment horizontal="center" vertical="center"/>
    </xf>
    <xf numFmtId="0" fontId="8" fillId="0" borderId="12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12" xfId="0" applyFont="1" applyBorder="1" applyAlignment="1">
      <alignment horizontal="center"/>
    </xf>
    <xf numFmtId="0" fontId="0" fillId="6" borderId="25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9" fillId="6" borderId="28" xfId="0" applyFont="1" applyFill="1" applyBorder="1" applyAlignment="1">
      <alignment horizontal="center" vertical="top" wrapText="1"/>
    </xf>
    <xf numFmtId="0" fontId="9" fillId="6" borderId="29" xfId="0" applyFont="1" applyFill="1" applyBorder="1" applyAlignment="1">
      <alignment horizontal="center" vertical="top" wrapText="1"/>
    </xf>
    <xf numFmtId="0" fontId="9" fillId="6" borderId="30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 wrapText="1"/>
    </xf>
    <xf numFmtId="0" fontId="9" fillId="6" borderId="23" xfId="0" applyFont="1" applyFill="1" applyBorder="1" applyAlignment="1">
      <alignment horizontal="center" vertical="top" wrapText="1"/>
    </xf>
    <xf numFmtId="0" fontId="9" fillId="6" borderId="13" xfId="0" applyFont="1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8" fillId="19" borderId="124" xfId="0" applyFont="1" applyFill="1" applyBorder="1" applyAlignment="1">
      <alignment horizontal="left" wrapText="1"/>
    </xf>
    <xf numFmtId="0" fontId="8" fillId="19" borderId="34" xfId="0" applyFont="1" applyFill="1" applyBorder="1" applyAlignment="1">
      <alignment horizontal="left" wrapText="1"/>
    </xf>
    <xf numFmtId="0" fontId="8" fillId="19" borderId="112" xfId="0" applyFont="1" applyFill="1" applyBorder="1" applyAlignment="1">
      <alignment horizontal="left" wrapText="1"/>
    </xf>
    <xf numFmtId="0" fontId="8" fillId="19" borderId="86" xfId="0" applyFont="1" applyFill="1" applyBorder="1" applyAlignment="1">
      <alignment horizontal="center" vertical="top" wrapText="1"/>
    </xf>
    <xf numFmtId="0" fontId="8" fillId="19" borderId="125" xfId="0" applyFont="1" applyFill="1" applyBorder="1" applyAlignment="1">
      <alignment horizontal="center" vertical="top" wrapText="1"/>
    </xf>
    <xf numFmtId="0" fontId="8" fillId="19" borderId="113" xfId="0" applyFont="1" applyFill="1" applyBorder="1" applyAlignment="1">
      <alignment horizontal="center" vertical="top" wrapText="1"/>
    </xf>
    <xf numFmtId="0" fontId="8" fillId="10" borderId="124" xfId="0" applyFont="1" applyFill="1" applyBorder="1" applyAlignment="1">
      <alignment horizontal="center" wrapText="1"/>
    </xf>
    <xf numFmtId="0" fontId="8" fillId="10" borderId="112" xfId="0" applyFont="1" applyFill="1" applyBorder="1" applyAlignment="1">
      <alignment horizontal="center" wrapText="1"/>
    </xf>
    <xf numFmtId="0" fontId="8" fillId="10" borderId="124" xfId="0" applyFont="1" applyFill="1" applyBorder="1" applyAlignment="1">
      <alignment horizontal="center" vertical="center" wrapText="1"/>
    </xf>
    <xf numFmtId="0" fontId="8" fillId="10" borderId="112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9" fillId="6" borderId="20" xfId="0" applyFont="1" applyFill="1" applyBorder="1" applyAlignment="1">
      <alignment horizontal="center" vertical="top" wrapText="1"/>
    </xf>
    <xf numFmtId="0" fontId="9" fillId="6" borderId="19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6" borderId="63" xfId="0" applyFont="1" applyFill="1" applyBorder="1" applyAlignment="1">
      <alignment horizontal="center" vertical="top" wrapText="1"/>
    </xf>
    <xf numFmtId="0" fontId="9" fillId="6" borderId="178" xfId="0" applyFont="1" applyFill="1" applyBorder="1" applyAlignment="1">
      <alignment horizontal="center" vertical="top" wrapText="1"/>
    </xf>
    <xf numFmtId="0" fontId="9" fillId="6" borderId="179" xfId="0" applyFont="1" applyFill="1" applyBorder="1" applyAlignment="1">
      <alignment horizontal="center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18" borderId="14" xfId="0" applyFill="1" applyBorder="1" applyAlignment="1">
      <alignment horizontal="center" vertical="top" wrapText="1"/>
    </xf>
    <xf numFmtId="0" fontId="0" fillId="18" borderId="23" xfId="0" applyFill="1" applyBorder="1" applyAlignment="1">
      <alignment horizontal="center" vertical="top" wrapText="1"/>
    </xf>
    <xf numFmtId="0" fontId="0" fillId="18" borderId="13" xfId="0" applyFill="1" applyBorder="1" applyAlignment="1">
      <alignment horizontal="center" vertical="top" wrapText="1"/>
    </xf>
    <xf numFmtId="0" fontId="0" fillId="17" borderId="24" xfId="0" applyFill="1" applyBorder="1" applyAlignment="1">
      <alignment horizontal="center" vertical="top" wrapText="1"/>
    </xf>
    <xf numFmtId="0" fontId="0" fillId="17" borderId="0" xfId="0" applyFill="1" applyAlignment="1">
      <alignment horizontal="center" vertical="top" wrapText="1"/>
    </xf>
    <xf numFmtId="0" fontId="0" fillId="17" borderId="20" xfId="0" applyFill="1" applyBorder="1" applyAlignment="1">
      <alignment horizontal="center" vertical="top" wrapText="1"/>
    </xf>
    <xf numFmtId="0" fontId="0" fillId="18" borderId="24" xfId="0" applyFill="1" applyBorder="1" applyAlignment="1">
      <alignment horizontal="center" vertical="top" wrapText="1"/>
    </xf>
    <xf numFmtId="0" fontId="0" fillId="18" borderId="0" xfId="0" applyFill="1" applyAlignment="1">
      <alignment horizontal="center" vertical="top" wrapText="1"/>
    </xf>
    <xf numFmtId="0" fontId="0" fillId="18" borderId="20" xfId="0" applyFill="1" applyBorder="1" applyAlignment="1">
      <alignment horizontal="center" vertical="top" wrapText="1"/>
    </xf>
    <xf numFmtId="0" fontId="0" fillId="18" borderId="19" xfId="0" applyFill="1" applyBorder="1" applyAlignment="1">
      <alignment horizontal="center" vertical="top" wrapText="1"/>
    </xf>
    <xf numFmtId="0" fontId="0" fillId="17" borderId="19" xfId="0" applyFill="1" applyBorder="1" applyAlignment="1">
      <alignment horizontal="center" vertical="top" wrapText="1"/>
    </xf>
    <xf numFmtId="0" fontId="0" fillId="17" borderId="6" xfId="0" applyFill="1" applyBorder="1" applyAlignment="1">
      <alignment horizontal="center" vertical="top" wrapText="1"/>
    </xf>
    <xf numFmtId="0" fontId="8" fillId="7" borderId="24" xfId="0" applyFont="1" applyFill="1" applyBorder="1" applyAlignment="1">
      <alignment horizontal="left" vertical="top" wrapText="1"/>
    </xf>
    <xf numFmtId="0" fontId="8" fillId="7" borderId="15" xfId="0" applyFont="1" applyFill="1" applyBorder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0" fontId="0" fillId="18" borderId="6" xfId="0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left" vertical="top" wrapText="1"/>
    </xf>
    <xf numFmtId="0" fontId="27" fillId="0" borderId="26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26" fillId="11" borderId="28" xfId="0" applyFont="1" applyFill="1" applyBorder="1" applyAlignment="1">
      <alignment horizontal="left"/>
    </xf>
    <xf numFmtId="0" fontId="26" fillId="11" borderId="29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11" borderId="0" xfId="0" applyFont="1" applyFill="1" applyAlignment="1">
      <alignment horizontal="left"/>
    </xf>
    <xf numFmtId="0" fontId="26" fillId="10" borderId="28" xfId="0" applyFont="1" applyFill="1" applyBorder="1" applyAlignment="1">
      <alignment horizontal="left"/>
    </xf>
    <xf numFmtId="0" fontId="26" fillId="10" borderId="29" xfId="0" applyFont="1" applyFill="1" applyBorder="1" applyAlignment="1">
      <alignment horizontal="left"/>
    </xf>
    <xf numFmtId="0" fontId="26" fillId="10" borderId="0" xfId="0" applyFont="1" applyFill="1" applyAlignment="1">
      <alignment horizontal="left"/>
    </xf>
    <xf numFmtId="0" fontId="35" fillId="12" borderId="28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35" fillId="12" borderId="30" xfId="0" applyFont="1" applyFill="1" applyBorder="1" applyAlignment="1">
      <alignment horizontal="center" vertical="center" wrapText="1"/>
    </xf>
    <xf numFmtId="0" fontId="35" fillId="12" borderId="8" xfId="0" applyFont="1" applyFill="1" applyBorder="1" applyAlignment="1">
      <alignment horizontal="center" vertical="center" wrapText="1"/>
    </xf>
    <xf numFmtId="0" fontId="35" fillId="12" borderId="80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56" fillId="12" borderId="8" xfId="0" applyFont="1" applyFill="1" applyBorder="1" applyAlignment="1">
      <alignment horizontal="center" vertical="center" wrapText="1"/>
    </xf>
    <xf numFmtId="0" fontId="56" fillId="12" borderId="9" xfId="0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/>
    </xf>
    <xf numFmtId="0" fontId="35" fillId="12" borderId="14" xfId="0" applyFont="1" applyFill="1" applyBorder="1" applyAlignment="1">
      <alignment horizontal="center" vertical="center" wrapText="1"/>
    </xf>
    <xf numFmtId="0" fontId="35" fillId="12" borderId="23" xfId="0" applyFont="1" applyFill="1" applyBorder="1" applyAlignment="1">
      <alignment horizontal="center" vertical="center" wrapText="1"/>
    </xf>
    <xf numFmtId="0" fontId="35" fillId="12" borderId="13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top"/>
    </xf>
    <xf numFmtId="0" fontId="1" fillId="26" borderId="80" xfId="0" applyFont="1" applyFill="1" applyBorder="1" applyAlignment="1">
      <alignment horizontal="center" vertical="top"/>
    </xf>
    <xf numFmtId="0" fontId="5" fillId="26" borderId="8" xfId="0" applyFont="1" applyFill="1" applyBorder="1" applyAlignment="1">
      <alignment horizontal="left" vertical="top" wrapText="1"/>
    </xf>
    <xf numFmtId="0" fontId="5" fillId="26" borderId="80" xfId="0" applyFont="1" applyFill="1" applyBorder="1" applyAlignment="1">
      <alignment horizontal="left" vertical="top" wrapText="1"/>
    </xf>
    <xf numFmtId="0" fontId="1" fillId="26" borderId="8" xfId="0" applyFont="1" applyFill="1" applyBorder="1" applyAlignment="1">
      <alignment vertical="top" wrapText="1"/>
    </xf>
    <xf numFmtId="0" fontId="1" fillId="26" borderId="80" xfId="0" applyFont="1" applyFill="1" applyBorder="1" applyAlignment="1">
      <alignment vertical="top" wrapText="1"/>
    </xf>
    <xf numFmtId="2" fontId="3" fillId="5" borderId="91" xfId="0" applyNumberFormat="1" applyFont="1" applyFill="1" applyBorder="1" applyAlignment="1">
      <alignment horizontal="right" vertical="top" wrapText="1"/>
    </xf>
    <xf numFmtId="2" fontId="3" fillId="5" borderId="92" xfId="0" applyNumberFormat="1" applyFont="1" applyFill="1" applyBorder="1" applyAlignment="1">
      <alignment horizontal="right" vertical="top" wrapText="1"/>
    </xf>
    <xf numFmtId="0" fontId="5" fillId="26" borderId="7" xfId="0" applyFont="1" applyFill="1" applyBorder="1" applyAlignment="1">
      <alignment horizontal="left" vertical="top" wrapText="1"/>
    </xf>
    <xf numFmtId="0" fontId="5" fillId="26" borderId="4" xfId="0" applyFont="1" applyFill="1" applyBorder="1" applyAlignment="1">
      <alignment horizontal="left" vertical="top" wrapText="1"/>
    </xf>
    <xf numFmtId="166" fontId="49" fillId="3" borderId="8" xfId="0" applyNumberFormat="1" applyFont="1" applyFill="1" applyBorder="1" applyAlignment="1">
      <alignment horizontal="right" vertical="top" wrapText="1"/>
    </xf>
    <xf numFmtId="166" fontId="49" fillId="3" borderId="9" xfId="0" applyNumberFormat="1" applyFont="1" applyFill="1" applyBorder="1" applyAlignment="1">
      <alignment horizontal="right" vertical="top" wrapText="1"/>
    </xf>
    <xf numFmtId="166" fontId="49" fillId="3" borderId="8" xfId="0" applyNumberFormat="1" applyFont="1" applyFill="1" applyBorder="1" applyAlignment="1">
      <alignment vertical="top" wrapText="1"/>
    </xf>
    <xf numFmtId="166" fontId="49" fillId="3" borderId="9" xfId="0" applyNumberFormat="1" applyFont="1" applyFill="1" applyBorder="1" applyAlignment="1">
      <alignment vertical="top" wrapText="1"/>
    </xf>
    <xf numFmtId="0" fontId="5" fillId="26" borderId="14" xfId="0" applyFont="1" applyFill="1" applyBorder="1" applyAlignment="1">
      <alignment horizontal="left" vertical="top" wrapText="1"/>
    </xf>
    <xf numFmtId="0" fontId="5" fillId="26" borderId="15" xfId="0" applyFont="1" applyFill="1" applyBorder="1" applyAlignment="1">
      <alignment horizontal="left" vertical="top" wrapText="1"/>
    </xf>
    <xf numFmtId="2" fontId="49" fillId="3" borderId="8" xfId="0" applyNumberFormat="1" applyFont="1" applyFill="1" applyBorder="1" applyAlignment="1">
      <alignment vertical="top" wrapText="1"/>
    </xf>
    <xf numFmtId="2" fontId="49" fillId="3" borderId="9" xfId="0" applyNumberFormat="1" applyFont="1" applyFill="1" applyBorder="1" applyAlignment="1">
      <alignment vertical="top" wrapText="1"/>
    </xf>
    <xf numFmtId="0" fontId="1" fillId="26" borderId="9" xfId="0" applyFont="1" applyFill="1" applyBorder="1" applyAlignment="1">
      <alignment vertical="top" wrapText="1"/>
    </xf>
    <xf numFmtId="0" fontId="5" fillId="26" borderId="11" xfId="0" applyFont="1" applyFill="1" applyBorder="1" applyAlignment="1">
      <alignment horizontal="left" vertical="top" wrapText="1"/>
    </xf>
    <xf numFmtId="0" fontId="5" fillId="26" borderId="12" xfId="0" applyFont="1" applyFill="1" applyBorder="1" applyAlignment="1">
      <alignment horizontal="left" vertical="top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9" xfId="0" applyFont="1" applyFill="1" applyBorder="1" applyAlignment="1">
      <alignment horizontal="center" vertical="top" wrapText="1"/>
    </xf>
    <xf numFmtId="0" fontId="1" fillId="26" borderId="13" xfId="0" applyFont="1" applyFill="1" applyBorder="1" applyAlignment="1">
      <alignment horizontal="center" vertical="top"/>
    </xf>
    <xf numFmtId="0" fontId="1" fillId="26" borderId="5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0" fillId="22" borderId="14" xfId="0" applyFont="1" applyFill="1" applyBorder="1" applyAlignment="1">
      <alignment horizontal="center"/>
    </xf>
    <xf numFmtId="0" fontId="60" fillId="22" borderId="2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114300</xdr:rowOff>
    </xdr:from>
    <xdr:to>
      <xdr:col>13</xdr:col>
      <xdr:colOff>552450</xdr:colOff>
      <xdr:row>38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14300"/>
          <a:ext cx="7524750" cy="6781800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39</xdr:row>
      <xdr:rowOff>165100</xdr:rowOff>
    </xdr:from>
    <xdr:to>
      <xdr:col>13</xdr:col>
      <xdr:colOff>260350</xdr:colOff>
      <xdr:row>73</xdr:row>
      <xdr:rowOff>139700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7099300"/>
          <a:ext cx="7219950" cy="601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46"/>
  <sheetViews>
    <sheetView view="pageBreakPreview" topLeftCell="A6" zoomScale="130" zoomScaleNormal="100" zoomScaleSheetLayoutView="130" workbookViewId="0">
      <selection activeCell="C26" sqref="C26:I26"/>
    </sheetView>
  </sheetViews>
  <sheetFormatPr defaultColWidth="8.85546875" defaultRowHeight="15" x14ac:dyDescent="0.25"/>
  <cols>
    <col min="2" max="2" width="11.7109375" customWidth="1"/>
    <col min="4" max="4" width="6.42578125" customWidth="1"/>
    <col min="6" max="6" width="7.7109375" customWidth="1"/>
    <col min="7" max="7" width="12.28515625" customWidth="1"/>
    <col min="8" max="8" width="6" customWidth="1"/>
    <col min="9" max="9" width="14.28515625" customWidth="1"/>
  </cols>
  <sheetData>
    <row r="1" spans="1:18" x14ac:dyDescent="0.25">
      <c r="A1" s="36"/>
      <c r="B1" s="36"/>
      <c r="C1" s="36"/>
      <c r="D1" s="36"/>
      <c r="E1" s="36"/>
      <c r="F1" s="36"/>
      <c r="G1" s="36"/>
      <c r="H1" s="36"/>
      <c r="I1" s="36"/>
      <c r="J1" s="365"/>
      <c r="K1" s="366"/>
      <c r="L1" s="366"/>
      <c r="M1" s="366"/>
      <c r="N1" s="366"/>
      <c r="O1" s="366"/>
      <c r="P1" s="366"/>
      <c r="Q1" s="366"/>
      <c r="R1" s="366"/>
    </row>
    <row r="2" spans="1:18" x14ac:dyDescent="0.25">
      <c r="A2" s="36"/>
      <c r="B2" s="36"/>
      <c r="C2" s="36"/>
      <c r="D2" s="36"/>
      <c r="E2" s="36"/>
      <c r="F2" s="36"/>
      <c r="G2" s="36"/>
      <c r="H2" s="36"/>
      <c r="I2" s="36"/>
      <c r="J2" s="366"/>
      <c r="K2" s="366"/>
      <c r="L2" s="366"/>
      <c r="M2" s="366"/>
      <c r="N2" s="366"/>
      <c r="O2" s="366"/>
      <c r="P2" s="366"/>
      <c r="Q2" s="366"/>
      <c r="R2" s="366"/>
    </row>
    <row r="3" spans="1:18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6"/>
      <c r="K3" s="366"/>
      <c r="L3" s="366"/>
      <c r="M3" s="366"/>
      <c r="N3" s="366"/>
      <c r="O3" s="366"/>
      <c r="P3" s="366"/>
      <c r="Q3" s="366"/>
      <c r="R3" s="366"/>
    </row>
    <row r="4" spans="1:18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6"/>
      <c r="K4" s="366"/>
      <c r="L4" s="366"/>
      <c r="M4" s="366"/>
      <c r="N4" s="366"/>
      <c r="O4" s="366"/>
      <c r="P4" s="366"/>
      <c r="Q4" s="366"/>
      <c r="R4" s="366"/>
    </row>
    <row r="5" spans="1:18" x14ac:dyDescent="0.25">
      <c r="A5" s="36"/>
      <c r="B5" s="36"/>
      <c r="C5" s="36"/>
      <c r="D5" s="36"/>
      <c r="E5" s="36"/>
      <c r="F5" s="36"/>
      <c r="G5" s="36"/>
      <c r="H5" s="36"/>
      <c r="I5" s="36"/>
      <c r="J5" s="366"/>
      <c r="K5" s="366"/>
      <c r="L5" s="366"/>
      <c r="M5" s="366"/>
      <c r="N5" s="366"/>
      <c r="O5" s="366"/>
      <c r="P5" s="366"/>
      <c r="Q5" s="366"/>
      <c r="R5" s="366"/>
    </row>
    <row r="6" spans="1:18" ht="62.1" customHeight="1" x14ac:dyDescent="0.5">
      <c r="A6" s="751" t="s">
        <v>116</v>
      </c>
      <c r="B6" s="751"/>
      <c r="C6" s="751"/>
      <c r="D6" s="751"/>
      <c r="E6" s="751"/>
      <c r="F6" s="751"/>
      <c r="G6" s="751"/>
      <c r="H6" s="751"/>
      <c r="I6" s="751"/>
      <c r="J6" s="366"/>
      <c r="K6" s="366"/>
      <c r="L6" s="366"/>
      <c r="M6" s="366"/>
      <c r="N6" s="366"/>
      <c r="O6" s="366"/>
      <c r="P6" s="366"/>
      <c r="Q6" s="366"/>
      <c r="R6" s="366"/>
    </row>
    <row r="7" spans="1:18" ht="18.75" customHeight="1" x14ac:dyDescent="0.3">
      <c r="A7" s="732" t="s">
        <v>66</v>
      </c>
      <c r="B7" s="732"/>
      <c r="C7" s="732"/>
      <c r="D7" s="732"/>
      <c r="E7" s="732"/>
      <c r="F7" s="732"/>
      <c r="G7" s="732"/>
      <c r="H7" s="732"/>
      <c r="I7" s="732"/>
      <c r="J7" s="366"/>
      <c r="K7" s="366"/>
      <c r="L7" s="366"/>
      <c r="M7" s="366"/>
      <c r="N7" s="366"/>
      <c r="O7" s="366"/>
      <c r="P7" s="366"/>
      <c r="Q7" s="366"/>
      <c r="R7" s="366"/>
    </row>
    <row r="8" spans="1:18" x14ac:dyDescent="0.25">
      <c r="A8" s="752" t="s">
        <v>61</v>
      </c>
      <c r="B8" s="752"/>
      <c r="C8" s="752"/>
      <c r="D8" s="752"/>
      <c r="E8" s="752"/>
      <c r="F8" s="752"/>
      <c r="G8" s="752"/>
      <c r="H8" s="752"/>
      <c r="I8" s="752"/>
      <c r="J8" s="366"/>
      <c r="K8" s="366"/>
      <c r="L8" s="366"/>
      <c r="M8" s="366"/>
      <c r="N8" s="366"/>
      <c r="O8" s="366"/>
      <c r="P8" s="366"/>
      <c r="Q8" s="366"/>
      <c r="R8" s="366"/>
    </row>
    <row r="9" spans="1:18" ht="15" customHeight="1" x14ac:dyDescent="0.25">
      <c r="A9" s="752"/>
      <c r="B9" s="752"/>
      <c r="C9" s="752"/>
      <c r="D9" s="752"/>
      <c r="E9" s="752"/>
      <c r="F9" s="752"/>
      <c r="G9" s="752"/>
      <c r="H9" s="752"/>
      <c r="I9" s="752"/>
      <c r="J9" s="366"/>
      <c r="K9" s="366"/>
      <c r="L9" s="366"/>
      <c r="M9" s="366"/>
      <c r="N9" s="366"/>
      <c r="O9" s="366"/>
      <c r="P9" s="366"/>
      <c r="Q9" s="366"/>
      <c r="R9" s="366"/>
    </row>
    <row r="10" spans="1:18" ht="48.6" customHeight="1" x14ac:dyDescent="0.25">
      <c r="A10" s="752"/>
      <c r="B10" s="752"/>
      <c r="C10" s="752"/>
      <c r="D10" s="752"/>
      <c r="E10" s="752"/>
      <c r="F10" s="752"/>
      <c r="G10" s="752"/>
      <c r="H10" s="752"/>
      <c r="I10" s="752"/>
      <c r="J10" s="366"/>
      <c r="K10" s="366"/>
      <c r="L10" s="366"/>
      <c r="M10" s="366"/>
      <c r="N10" s="366"/>
      <c r="O10" s="366"/>
      <c r="P10" s="366"/>
      <c r="Q10" s="366"/>
      <c r="R10" s="366"/>
    </row>
    <row r="11" spans="1:18" ht="1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6"/>
      <c r="K11" s="366"/>
      <c r="L11" s="366"/>
      <c r="M11" s="366"/>
      <c r="N11" s="366"/>
      <c r="O11" s="366"/>
      <c r="P11" s="366"/>
      <c r="Q11" s="366"/>
      <c r="R11" s="366"/>
    </row>
    <row r="12" spans="1:18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6"/>
      <c r="K12" s="366"/>
      <c r="L12" s="366"/>
      <c r="M12" s="366"/>
      <c r="N12" s="366"/>
      <c r="O12" s="366"/>
      <c r="P12" s="366"/>
      <c r="Q12" s="366"/>
      <c r="R12" s="366"/>
    </row>
    <row r="13" spans="1:18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6"/>
      <c r="K13" s="366"/>
      <c r="L13" s="366"/>
      <c r="M13" s="366"/>
      <c r="N13" s="366"/>
      <c r="O13" s="366"/>
      <c r="P13" s="366"/>
      <c r="Q13" s="366"/>
      <c r="R13" s="366"/>
    </row>
    <row r="14" spans="1:18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6"/>
      <c r="K14" s="366"/>
      <c r="L14" s="366"/>
      <c r="M14" s="366"/>
      <c r="N14" s="366"/>
      <c r="O14" s="366"/>
      <c r="P14" s="366"/>
      <c r="Q14" s="366"/>
      <c r="R14" s="366"/>
    </row>
    <row r="15" spans="1:18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6"/>
      <c r="K15" s="366"/>
      <c r="L15" s="366"/>
      <c r="M15" s="366"/>
      <c r="N15" s="366"/>
      <c r="O15" s="366"/>
      <c r="P15" s="366"/>
      <c r="Q15" s="366"/>
      <c r="R15" s="366"/>
    </row>
    <row r="16" spans="1:18" x14ac:dyDescent="0.25">
      <c r="B16" s="36"/>
      <c r="C16" s="36"/>
      <c r="D16" s="36"/>
      <c r="E16" s="36"/>
      <c r="F16" s="36"/>
      <c r="G16" s="36"/>
      <c r="H16" s="36"/>
      <c r="I16" s="36"/>
      <c r="J16" s="366"/>
      <c r="K16" s="366"/>
      <c r="L16" s="366"/>
      <c r="M16" s="366"/>
      <c r="N16" s="366"/>
      <c r="O16" s="366"/>
      <c r="P16" s="366"/>
      <c r="Q16" s="366"/>
      <c r="R16" s="366"/>
    </row>
    <row r="17" spans="1:18" x14ac:dyDescent="0.25">
      <c r="B17" s="36"/>
      <c r="C17" s="36"/>
      <c r="D17" s="36"/>
      <c r="E17" s="36"/>
      <c r="F17" s="36"/>
      <c r="G17" s="36"/>
      <c r="H17" s="36"/>
      <c r="I17" s="36"/>
      <c r="J17" s="366"/>
      <c r="K17" s="366"/>
      <c r="L17" s="366"/>
      <c r="M17" s="366"/>
      <c r="N17" s="366"/>
      <c r="O17" s="366"/>
      <c r="P17" s="366"/>
      <c r="Q17" s="366"/>
      <c r="R17" s="366"/>
    </row>
    <row r="18" spans="1:18" ht="15.75" thickBot="1" x14ac:dyDescent="0.3">
      <c r="B18" s="36"/>
      <c r="C18" s="36"/>
      <c r="D18" s="36"/>
      <c r="E18" s="36"/>
      <c r="F18" s="36"/>
      <c r="G18" s="36"/>
      <c r="H18" s="36"/>
      <c r="I18" s="36"/>
      <c r="J18" s="366"/>
      <c r="K18" s="366"/>
      <c r="L18" s="366"/>
      <c r="M18" s="366"/>
      <c r="N18" s="366"/>
      <c r="O18" s="366"/>
      <c r="P18" s="366"/>
      <c r="Q18" s="366"/>
      <c r="R18" s="366"/>
    </row>
    <row r="19" spans="1:18" ht="16.5" x14ac:dyDescent="0.25">
      <c r="A19" s="753" t="s">
        <v>117</v>
      </c>
      <c r="B19" s="754"/>
      <c r="C19" s="755" t="s">
        <v>367</v>
      </c>
      <c r="D19" s="755"/>
      <c r="E19" s="755"/>
      <c r="F19" s="755"/>
      <c r="G19" s="755"/>
      <c r="H19" s="755"/>
      <c r="I19" s="756"/>
      <c r="J19" s="366"/>
      <c r="K19" s="366"/>
      <c r="L19" s="366"/>
      <c r="M19" s="366"/>
      <c r="N19" s="366"/>
      <c r="O19" s="366"/>
      <c r="P19" s="366"/>
      <c r="Q19" s="366"/>
      <c r="R19" s="366"/>
    </row>
    <row r="20" spans="1:18" ht="16.5" x14ac:dyDescent="0.25">
      <c r="A20" s="733" t="s">
        <v>121</v>
      </c>
      <c r="B20" s="734"/>
      <c r="C20" s="749"/>
      <c r="D20" s="749"/>
      <c r="E20" s="749"/>
      <c r="F20" s="749"/>
      <c r="G20" s="749"/>
      <c r="H20" s="749"/>
      <c r="I20" s="750"/>
      <c r="J20" s="366"/>
      <c r="K20" s="366"/>
      <c r="L20" s="366"/>
      <c r="M20" s="366"/>
      <c r="N20" s="366"/>
      <c r="O20" s="366"/>
      <c r="P20" s="366"/>
      <c r="Q20" s="366"/>
      <c r="R20" s="366"/>
    </row>
    <row r="21" spans="1:18" ht="16.5" x14ac:dyDescent="0.25">
      <c r="A21" s="733" t="s">
        <v>120</v>
      </c>
      <c r="B21" s="734"/>
      <c r="C21" s="749"/>
      <c r="D21" s="749"/>
      <c r="E21" s="749"/>
      <c r="F21" s="749"/>
      <c r="G21" s="749"/>
      <c r="H21" s="749"/>
      <c r="I21" s="750"/>
      <c r="J21" s="366"/>
      <c r="K21" s="366"/>
      <c r="L21" s="366"/>
      <c r="M21" s="366"/>
      <c r="N21" s="366"/>
      <c r="O21" s="366"/>
      <c r="P21" s="366"/>
      <c r="Q21" s="366"/>
      <c r="R21" s="366"/>
    </row>
    <row r="22" spans="1:18" ht="14.45" customHeight="1" x14ac:dyDescent="0.25">
      <c r="A22" s="733" t="s">
        <v>50</v>
      </c>
      <c r="B22" s="734"/>
      <c r="C22" s="749" t="s">
        <v>368</v>
      </c>
      <c r="D22" s="749"/>
      <c r="E22" s="749"/>
      <c r="F22" s="749"/>
      <c r="G22" s="749"/>
      <c r="H22" s="749"/>
      <c r="I22" s="750"/>
      <c r="J22" s="366"/>
      <c r="K22" s="366"/>
      <c r="L22" s="366"/>
      <c r="M22" s="366"/>
      <c r="N22" s="366"/>
      <c r="O22" s="366"/>
      <c r="P22" s="366"/>
      <c r="Q22" s="366"/>
      <c r="R22" s="366"/>
    </row>
    <row r="23" spans="1:18" ht="16.5" x14ac:dyDescent="0.25">
      <c r="A23" s="733" t="s">
        <v>51</v>
      </c>
      <c r="B23" s="734"/>
      <c r="C23" s="749" t="s">
        <v>369</v>
      </c>
      <c r="D23" s="749"/>
      <c r="E23" s="749"/>
      <c r="F23" s="749"/>
      <c r="G23" s="749"/>
      <c r="H23" s="749"/>
      <c r="I23" s="750"/>
      <c r="J23" s="366"/>
      <c r="K23" s="366"/>
      <c r="L23" s="366"/>
      <c r="M23" s="366"/>
      <c r="N23" s="366"/>
      <c r="O23" s="366"/>
      <c r="P23" s="366"/>
      <c r="Q23" s="366"/>
      <c r="R23" s="366"/>
    </row>
    <row r="24" spans="1:18" ht="16.5" x14ac:dyDescent="0.25">
      <c r="A24" s="733" t="s">
        <v>52</v>
      </c>
      <c r="B24" s="734"/>
      <c r="C24" s="749" t="s">
        <v>370</v>
      </c>
      <c r="D24" s="749"/>
      <c r="E24" s="749"/>
      <c r="F24" s="749"/>
      <c r="G24" s="749"/>
      <c r="H24" s="749"/>
      <c r="I24" s="750"/>
      <c r="J24" s="366"/>
      <c r="K24" s="366"/>
      <c r="L24" s="366"/>
      <c r="M24" s="366"/>
      <c r="N24" s="366"/>
      <c r="O24" s="366"/>
      <c r="P24" s="366"/>
      <c r="Q24" s="366"/>
      <c r="R24" s="366"/>
    </row>
    <row r="25" spans="1:18" ht="16.5" x14ac:dyDescent="0.25">
      <c r="A25" s="733" t="s">
        <v>53</v>
      </c>
      <c r="B25" s="734"/>
      <c r="C25" s="749"/>
      <c r="D25" s="749"/>
      <c r="E25" s="749"/>
      <c r="F25" s="749"/>
      <c r="G25" s="749"/>
      <c r="H25" s="749"/>
      <c r="I25" s="750"/>
      <c r="J25" s="366"/>
      <c r="K25" s="366"/>
      <c r="L25" s="366"/>
      <c r="M25" s="366"/>
      <c r="N25" s="366"/>
      <c r="O25" s="366"/>
      <c r="P25" s="366"/>
      <c r="Q25" s="366"/>
      <c r="R25" s="366"/>
    </row>
    <row r="26" spans="1:18" ht="16.5" x14ac:dyDescent="0.25">
      <c r="A26" s="733" t="s">
        <v>54</v>
      </c>
      <c r="B26" s="734"/>
      <c r="C26" s="749"/>
      <c r="D26" s="749"/>
      <c r="E26" s="749"/>
      <c r="F26" s="749"/>
      <c r="G26" s="749"/>
      <c r="H26" s="749"/>
      <c r="I26" s="750"/>
      <c r="J26" s="366"/>
      <c r="K26" s="366"/>
      <c r="L26" s="366"/>
      <c r="M26" s="366"/>
      <c r="N26" s="366"/>
      <c r="O26" s="366"/>
      <c r="P26" s="366"/>
      <c r="Q26" s="366"/>
      <c r="R26" s="366"/>
    </row>
    <row r="27" spans="1:18" ht="19.350000000000001" customHeight="1" x14ac:dyDescent="0.25">
      <c r="A27" s="733" t="s">
        <v>55</v>
      </c>
      <c r="B27" s="734"/>
      <c r="C27" s="735" t="s">
        <v>56</v>
      </c>
      <c r="D27" s="735"/>
      <c r="E27" s="735"/>
      <c r="F27" s="735"/>
      <c r="G27" s="735"/>
      <c r="H27" s="735"/>
      <c r="I27" s="736"/>
      <c r="J27" s="366"/>
      <c r="K27" s="366"/>
      <c r="L27" s="366"/>
      <c r="M27" s="366"/>
      <c r="N27" s="366"/>
      <c r="O27" s="366"/>
      <c r="P27" s="366"/>
      <c r="Q27" s="366"/>
      <c r="R27" s="366"/>
    </row>
    <row r="28" spans="1:18" ht="33" customHeight="1" thickBot="1" x14ac:dyDescent="0.3">
      <c r="A28" s="737" t="s">
        <v>57</v>
      </c>
      <c r="B28" s="738"/>
      <c r="C28" s="739" t="s">
        <v>58</v>
      </c>
      <c r="D28" s="739"/>
      <c r="E28" s="739"/>
      <c r="F28" s="739"/>
      <c r="G28" s="739"/>
      <c r="H28" s="739"/>
      <c r="I28" s="740"/>
      <c r="J28" s="366"/>
      <c r="K28" s="366"/>
      <c r="L28" s="366"/>
      <c r="M28" s="366"/>
      <c r="N28" s="366"/>
      <c r="O28" s="366"/>
      <c r="P28" s="366"/>
      <c r="Q28" s="366"/>
      <c r="R28" s="366"/>
    </row>
    <row r="29" spans="1:18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6"/>
      <c r="K29" s="366"/>
      <c r="L29" s="366"/>
      <c r="M29" s="366"/>
      <c r="N29" s="366"/>
      <c r="O29" s="366"/>
      <c r="P29" s="366"/>
      <c r="Q29" s="366"/>
      <c r="R29" s="366"/>
    </row>
    <row r="30" spans="1:18" ht="15.75" thickBot="1" x14ac:dyDescent="0.3">
      <c r="A30" s="741" t="s">
        <v>62</v>
      </c>
      <c r="B30" s="741"/>
      <c r="C30" s="741"/>
      <c r="D30" s="741"/>
      <c r="E30" s="741"/>
      <c r="F30" s="741"/>
      <c r="G30" s="741"/>
      <c r="H30" s="741"/>
      <c r="I30" s="741"/>
      <c r="J30" s="366"/>
      <c r="K30" s="366"/>
      <c r="L30" s="366"/>
      <c r="M30" s="366"/>
      <c r="N30" s="366"/>
      <c r="O30" s="366"/>
      <c r="P30" s="366"/>
      <c r="Q30" s="366"/>
      <c r="R30" s="366"/>
    </row>
    <row r="31" spans="1:18" ht="14.45" customHeight="1" x14ac:dyDescent="0.25">
      <c r="A31" s="742" t="s">
        <v>59</v>
      </c>
      <c r="B31" s="743"/>
      <c r="C31" s="726" t="s">
        <v>60</v>
      </c>
      <c r="D31" s="726"/>
      <c r="E31" s="747" t="s">
        <v>63</v>
      </c>
      <c r="F31" s="747"/>
      <c r="G31" s="728" t="s">
        <v>64</v>
      </c>
      <c r="H31" s="728"/>
      <c r="I31" s="730" t="s">
        <v>65</v>
      </c>
      <c r="J31" s="366"/>
      <c r="K31" s="366"/>
      <c r="L31" s="366"/>
      <c r="M31" s="366"/>
      <c r="N31" s="366"/>
      <c r="O31" s="366"/>
      <c r="P31" s="366"/>
      <c r="Q31" s="366"/>
      <c r="R31" s="366"/>
    </row>
    <row r="32" spans="1:18" ht="15.75" thickBot="1" x14ac:dyDescent="0.3">
      <c r="A32" s="744"/>
      <c r="B32" s="745"/>
      <c r="C32" s="746"/>
      <c r="D32" s="746"/>
      <c r="E32" s="748"/>
      <c r="F32" s="748"/>
      <c r="G32" s="729"/>
      <c r="H32" s="729"/>
      <c r="I32" s="731"/>
      <c r="J32" s="366"/>
      <c r="K32" s="366"/>
      <c r="L32" s="366"/>
      <c r="M32" s="366"/>
      <c r="N32" s="366"/>
      <c r="O32" s="366"/>
      <c r="P32" s="366"/>
      <c r="Q32" s="366"/>
      <c r="R32" s="366"/>
    </row>
    <row r="33" spans="1:18" x14ac:dyDescent="0.25">
      <c r="A33" s="726"/>
      <c r="B33" s="726"/>
      <c r="C33" s="726"/>
      <c r="D33" s="726"/>
      <c r="E33" s="726"/>
      <c r="F33" s="726"/>
      <c r="G33" s="726"/>
      <c r="H33" s="726"/>
      <c r="I33" s="726"/>
      <c r="J33" s="366"/>
      <c r="K33" s="366"/>
      <c r="L33" s="366"/>
      <c r="M33" s="366"/>
      <c r="N33" s="366"/>
      <c r="O33" s="366"/>
      <c r="P33" s="366"/>
      <c r="Q33" s="366"/>
      <c r="R33" s="366"/>
    </row>
    <row r="34" spans="1:18" x14ac:dyDescent="0.25">
      <c r="A34" s="727"/>
      <c r="B34" s="727"/>
      <c r="C34" s="727"/>
      <c r="D34" s="727"/>
      <c r="E34" s="727"/>
      <c r="F34" s="727"/>
      <c r="G34" s="727"/>
      <c r="H34" s="727"/>
      <c r="I34" s="727"/>
      <c r="J34" s="366"/>
      <c r="K34" s="366"/>
      <c r="L34" s="366"/>
      <c r="M34" s="366"/>
      <c r="N34" s="366"/>
      <c r="O34" s="366"/>
      <c r="P34" s="366"/>
      <c r="Q34" s="366"/>
      <c r="R34" s="366"/>
    </row>
    <row r="35" spans="1:18" x14ac:dyDescent="0.25">
      <c r="A35" s="727"/>
      <c r="B35" s="727"/>
      <c r="C35" s="727"/>
      <c r="D35" s="727"/>
      <c r="E35" s="727"/>
      <c r="F35" s="727"/>
      <c r="G35" s="727"/>
      <c r="H35" s="727"/>
      <c r="I35" s="727"/>
      <c r="J35" s="366"/>
      <c r="K35" s="366"/>
      <c r="L35" s="366"/>
      <c r="M35" s="366"/>
      <c r="N35" s="366"/>
      <c r="O35" s="366"/>
      <c r="P35" s="366"/>
      <c r="Q35" s="366"/>
      <c r="R35" s="366"/>
    </row>
    <row r="36" spans="1:18" x14ac:dyDescent="0.25">
      <c r="A36" s="84"/>
      <c r="B36" s="84"/>
      <c r="C36" s="36"/>
      <c r="D36" s="36"/>
      <c r="E36" s="36"/>
      <c r="F36" s="36"/>
      <c r="G36" s="36"/>
      <c r="H36" s="36"/>
      <c r="I36" s="36"/>
      <c r="J36" s="366"/>
      <c r="K36" s="366"/>
      <c r="L36" s="366"/>
      <c r="M36" s="366"/>
      <c r="N36" s="366"/>
      <c r="O36" s="366"/>
      <c r="P36" s="366"/>
      <c r="Q36" s="366"/>
      <c r="R36" s="366"/>
    </row>
    <row r="37" spans="1:18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6"/>
      <c r="K37" s="366"/>
      <c r="L37" s="366"/>
      <c r="M37" s="366"/>
      <c r="N37" s="366"/>
      <c r="O37" s="366"/>
      <c r="P37" s="366"/>
      <c r="Q37" s="366"/>
      <c r="R37" s="366"/>
    </row>
    <row r="38" spans="1:18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6"/>
      <c r="K38" s="366"/>
      <c r="L38" s="366"/>
      <c r="M38" s="366"/>
      <c r="N38" s="366"/>
      <c r="O38" s="366"/>
      <c r="P38" s="366"/>
      <c r="Q38" s="366"/>
      <c r="R38" s="366"/>
    </row>
    <row r="39" spans="1:18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6"/>
      <c r="K39" s="366"/>
      <c r="L39" s="366"/>
      <c r="M39" s="366"/>
      <c r="N39" s="366"/>
      <c r="O39" s="366"/>
      <c r="P39" s="366"/>
      <c r="Q39" s="366"/>
      <c r="R39" s="366"/>
    </row>
    <row r="40" spans="1:18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6"/>
      <c r="K40" s="366"/>
      <c r="L40" s="366"/>
      <c r="M40" s="366"/>
      <c r="N40" s="366"/>
      <c r="O40" s="366"/>
      <c r="P40" s="366"/>
      <c r="Q40" s="366"/>
      <c r="R40" s="366"/>
    </row>
    <row r="41" spans="1:18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6"/>
      <c r="K41" s="366"/>
      <c r="L41" s="366"/>
      <c r="M41" s="366"/>
      <c r="N41" s="366"/>
      <c r="O41" s="366"/>
      <c r="P41" s="366"/>
      <c r="Q41" s="366"/>
      <c r="R41" s="366"/>
    </row>
    <row r="42" spans="1:18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6"/>
      <c r="K42" s="366"/>
      <c r="L42" s="366"/>
      <c r="M42" s="366"/>
      <c r="N42" s="366"/>
      <c r="O42" s="366"/>
      <c r="P42" s="366"/>
      <c r="Q42" s="366"/>
      <c r="R42" s="366"/>
    </row>
    <row r="43" spans="1:18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18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18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18" x14ac:dyDescent="0.25">
      <c r="A46" s="36"/>
      <c r="B46" s="36"/>
      <c r="C46" s="36"/>
      <c r="D46" s="36"/>
      <c r="E46" s="36"/>
      <c r="F46" s="36"/>
      <c r="G46" s="36"/>
      <c r="H46" s="36"/>
      <c r="I46" s="36"/>
    </row>
  </sheetData>
  <mergeCells count="30">
    <mergeCell ref="A26:B26"/>
    <mergeCell ref="C26:I26"/>
    <mergeCell ref="A6:I6"/>
    <mergeCell ref="A8:I10"/>
    <mergeCell ref="A22:B22"/>
    <mergeCell ref="C22:I22"/>
    <mergeCell ref="A23:B23"/>
    <mergeCell ref="C23:I23"/>
    <mergeCell ref="A19:B19"/>
    <mergeCell ref="C19:I19"/>
    <mergeCell ref="A20:B20"/>
    <mergeCell ref="C20:I20"/>
    <mergeCell ref="A21:B21"/>
    <mergeCell ref="C21:I21"/>
    <mergeCell ref="A33:I35"/>
    <mergeCell ref="G31:H32"/>
    <mergeCell ref="I31:I32"/>
    <mergeCell ref="A7:I7"/>
    <mergeCell ref="A27:B27"/>
    <mergeCell ref="C27:I27"/>
    <mergeCell ref="A28:B28"/>
    <mergeCell ref="C28:I28"/>
    <mergeCell ref="A30:I30"/>
    <mergeCell ref="A31:B32"/>
    <mergeCell ref="C31:D32"/>
    <mergeCell ref="E31:F32"/>
    <mergeCell ref="A24:B24"/>
    <mergeCell ref="C24:I24"/>
    <mergeCell ref="A25:B25"/>
    <mergeCell ref="C25:I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E75"/>
  <sheetViews>
    <sheetView view="pageBreakPreview" zoomScale="60" zoomScaleNormal="85" workbookViewId="0">
      <selection activeCell="E20" sqref="E20"/>
    </sheetView>
  </sheetViews>
  <sheetFormatPr defaultColWidth="8.85546875" defaultRowHeight="15" outlineLevelRow="2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5" ht="25.35" customHeight="1" thickBot="1" x14ac:dyDescent="0.4">
      <c r="A1" s="815" t="s">
        <v>102</v>
      </c>
      <c r="B1" s="815"/>
      <c r="C1" s="815"/>
      <c r="D1" s="816"/>
      <c r="E1" s="70" t="s">
        <v>35</v>
      </c>
    </row>
    <row r="2" spans="1:5" ht="15.75" collapsed="1" thickBot="1" x14ac:dyDescent="0.3">
      <c r="A2" s="40" t="s">
        <v>0</v>
      </c>
      <c r="B2" s="75" t="s">
        <v>78</v>
      </c>
      <c r="C2" s="75" t="s">
        <v>77</v>
      </c>
      <c r="D2" s="75" t="s">
        <v>23</v>
      </c>
      <c r="E2" s="17"/>
    </row>
    <row r="3" spans="1:5" ht="15.75" thickBot="1" x14ac:dyDescent="0.3">
      <c r="A3" s="817" t="s">
        <v>82</v>
      </c>
      <c r="B3" s="818"/>
      <c r="C3" s="818"/>
      <c r="D3" s="81"/>
      <c r="E3" s="77">
        <f>E4+E25</f>
        <v>0</v>
      </c>
    </row>
    <row r="4" spans="1:5" ht="15.75" outlineLevel="1" thickBot="1" x14ac:dyDescent="0.3">
      <c r="A4" s="17" t="s">
        <v>109</v>
      </c>
      <c r="B4" s="17"/>
      <c r="C4" s="17"/>
      <c r="D4" s="28"/>
      <c r="E4" s="137">
        <f>SUM(E5:E24)</f>
        <v>0</v>
      </c>
    </row>
    <row r="5" spans="1:5" outlineLevel="2" x14ac:dyDescent="0.25">
      <c r="A5" s="819" t="s">
        <v>83</v>
      </c>
      <c r="B5" s="820" t="s">
        <v>84</v>
      </c>
      <c r="C5" s="820">
        <v>635009</v>
      </c>
      <c r="D5" s="67" t="s">
        <v>25</v>
      </c>
      <c r="E5" s="64">
        <v>0</v>
      </c>
    </row>
    <row r="6" spans="1:5" outlineLevel="2" x14ac:dyDescent="0.25">
      <c r="A6" s="819"/>
      <c r="B6" s="820"/>
      <c r="C6" s="820"/>
      <c r="D6" s="68" t="s">
        <v>26</v>
      </c>
      <c r="E6" s="65">
        <v>0</v>
      </c>
    </row>
    <row r="7" spans="1:5" outlineLevel="2" x14ac:dyDescent="0.25">
      <c r="A7" s="819"/>
      <c r="B7" s="820"/>
      <c r="C7" s="820"/>
      <c r="D7" s="68" t="s">
        <v>27</v>
      </c>
      <c r="E7" s="65">
        <v>0</v>
      </c>
    </row>
    <row r="8" spans="1:5" outlineLevel="2" x14ac:dyDescent="0.25">
      <c r="A8" s="819"/>
      <c r="B8" s="820"/>
      <c r="C8" s="820"/>
      <c r="D8" s="68" t="s">
        <v>28</v>
      </c>
      <c r="E8" s="65">
        <v>0</v>
      </c>
    </row>
    <row r="9" spans="1:5" outlineLevel="2" x14ac:dyDescent="0.25">
      <c r="A9" s="819"/>
      <c r="B9" s="820"/>
      <c r="C9" s="820"/>
      <c r="D9" s="68" t="s">
        <v>29</v>
      </c>
      <c r="E9" s="65">
        <v>0</v>
      </c>
    </row>
    <row r="10" spans="1:5" outlineLevel="2" x14ac:dyDescent="0.25">
      <c r="A10" s="819"/>
      <c r="B10" s="820"/>
      <c r="C10" s="820"/>
      <c r="D10" s="68" t="s">
        <v>30</v>
      </c>
      <c r="E10" s="65">
        <v>0</v>
      </c>
    </row>
    <row r="11" spans="1:5" outlineLevel="2" x14ac:dyDescent="0.25">
      <c r="A11" s="819"/>
      <c r="B11" s="820"/>
      <c r="C11" s="820"/>
      <c r="D11" s="68" t="s">
        <v>31</v>
      </c>
      <c r="E11" s="65">
        <v>0</v>
      </c>
    </row>
    <row r="12" spans="1:5" outlineLevel="2" x14ac:dyDescent="0.25">
      <c r="A12" s="819"/>
      <c r="B12" s="820"/>
      <c r="C12" s="820"/>
      <c r="D12" s="68" t="s">
        <v>32</v>
      </c>
      <c r="E12" s="65">
        <v>0</v>
      </c>
    </row>
    <row r="13" spans="1:5" outlineLevel="2" x14ac:dyDescent="0.25">
      <c r="A13" s="819"/>
      <c r="B13" s="820"/>
      <c r="C13" s="820"/>
      <c r="D13" s="68" t="s">
        <v>33</v>
      </c>
      <c r="E13" s="65">
        <v>0</v>
      </c>
    </row>
    <row r="14" spans="1:5" ht="15.75" outlineLevel="2" thickBot="1" x14ac:dyDescent="0.3">
      <c r="A14" s="819"/>
      <c r="B14" s="820"/>
      <c r="C14" s="820"/>
      <c r="D14" s="69" t="s">
        <v>34</v>
      </c>
      <c r="E14" s="66">
        <v>0</v>
      </c>
    </row>
    <row r="15" spans="1:5" outlineLevel="2" x14ac:dyDescent="0.25">
      <c r="A15" s="819" t="s">
        <v>85</v>
      </c>
      <c r="B15" s="820" t="s">
        <v>76</v>
      </c>
      <c r="C15" s="820">
        <v>718006</v>
      </c>
      <c r="D15" s="67" t="s">
        <v>25</v>
      </c>
      <c r="E15" s="65">
        <v>0</v>
      </c>
    </row>
    <row r="16" spans="1:5" outlineLevel="2" x14ac:dyDescent="0.25">
      <c r="A16" s="819"/>
      <c r="B16" s="820"/>
      <c r="C16" s="820"/>
      <c r="D16" s="68" t="s">
        <v>26</v>
      </c>
      <c r="E16" s="65">
        <v>0</v>
      </c>
    </row>
    <row r="17" spans="1:5" outlineLevel="2" x14ac:dyDescent="0.25">
      <c r="A17" s="819"/>
      <c r="B17" s="820"/>
      <c r="C17" s="820"/>
      <c r="D17" s="68" t="s">
        <v>27</v>
      </c>
      <c r="E17" s="65">
        <v>0</v>
      </c>
    </row>
    <row r="18" spans="1:5" outlineLevel="2" x14ac:dyDescent="0.25">
      <c r="A18" s="819"/>
      <c r="B18" s="820"/>
      <c r="C18" s="820"/>
      <c r="D18" s="68" t="s">
        <v>28</v>
      </c>
      <c r="E18" s="65">
        <v>0</v>
      </c>
    </row>
    <row r="19" spans="1:5" outlineLevel="2" x14ac:dyDescent="0.25">
      <c r="A19" s="819"/>
      <c r="B19" s="820"/>
      <c r="C19" s="820"/>
      <c r="D19" s="68" t="s">
        <v>29</v>
      </c>
      <c r="E19" s="65">
        <v>0</v>
      </c>
    </row>
    <row r="20" spans="1:5" outlineLevel="2" x14ac:dyDescent="0.25">
      <c r="A20" s="819"/>
      <c r="B20" s="820"/>
      <c r="C20" s="820"/>
      <c r="D20" s="68" t="s">
        <v>30</v>
      </c>
      <c r="E20" s="65">
        <v>0</v>
      </c>
    </row>
    <row r="21" spans="1:5" outlineLevel="2" x14ac:dyDescent="0.25">
      <c r="A21" s="819"/>
      <c r="B21" s="820"/>
      <c r="C21" s="820"/>
      <c r="D21" s="68" t="s">
        <v>31</v>
      </c>
      <c r="E21" s="65">
        <v>0</v>
      </c>
    </row>
    <row r="22" spans="1:5" outlineLevel="2" x14ac:dyDescent="0.25">
      <c r="A22" s="819"/>
      <c r="B22" s="820"/>
      <c r="C22" s="820"/>
      <c r="D22" s="68" t="s">
        <v>32</v>
      </c>
      <c r="E22" s="65">
        <v>0</v>
      </c>
    </row>
    <row r="23" spans="1:5" outlineLevel="2" x14ac:dyDescent="0.25">
      <c r="A23" s="819"/>
      <c r="B23" s="820"/>
      <c r="C23" s="820"/>
      <c r="D23" s="68" t="s">
        <v>33</v>
      </c>
      <c r="E23" s="65">
        <v>0</v>
      </c>
    </row>
    <row r="24" spans="1:5" ht="15.75" outlineLevel="2" thickBot="1" x14ac:dyDescent="0.3">
      <c r="A24" s="819"/>
      <c r="B24" s="820"/>
      <c r="C24" s="820"/>
      <c r="D24" s="69" t="s">
        <v>34</v>
      </c>
      <c r="E24" s="66">
        <v>0</v>
      </c>
    </row>
    <row r="25" spans="1:5" ht="15.75" outlineLevel="1" thickBot="1" x14ac:dyDescent="0.3">
      <c r="A25" s="17" t="s">
        <v>110</v>
      </c>
      <c r="B25" s="17"/>
      <c r="C25" s="17"/>
      <c r="D25" s="28"/>
      <c r="E25" s="139">
        <f>SUM(E26:E75)</f>
        <v>0</v>
      </c>
    </row>
    <row r="26" spans="1:5" outlineLevel="2" x14ac:dyDescent="0.25">
      <c r="A26" s="819" t="s">
        <v>86</v>
      </c>
      <c r="B26" s="820" t="s">
        <v>84</v>
      </c>
      <c r="C26" s="820">
        <v>635009</v>
      </c>
      <c r="D26" s="67" t="s">
        <v>25</v>
      </c>
      <c r="E26" s="71">
        <v>0</v>
      </c>
    </row>
    <row r="27" spans="1:5" outlineLevel="2" x14ac:dyDescent="0.25">
      <c r="A27" s="819"/>
      <c r="B27" s="820"/>
      <c r="C27" s="820"/>
      <c r="D27" s="68" t="s">
        <v>26</v>
      </c>
      <c r="E27" s="72">
        <v>0</v>
      </c>
    </row>
    <row r="28" spans="1:5" outlineLevel="2" x14ac:dyDescent="0.25">
      <c r="A28" s="819"/>
      <c r="B28" s="820"/>
      <c r="C28" s="820"/>
      <c r="D28" s="68" t="s">
        <v>27</v>
      </c>
      <c r="E28" s="72">
        <v>0</v>
      </c>
    </row>
    <row r="29" spans="1:5" outlineLevel="2" x14ac:dyDescent="0.25">
      <c r="A29" s="819"/>
      <c r="B29" s="820"/>
      <c r="C29" s="820"/>
      <c r="D29" s="68" t="s">
        <v>28</v>
      </c>
      <c r="E29" s="72">
        <v>0</v>
      </c>
    </row>
    <row r="30" spans="1:5" outlineLevel="2" x14ac:dyDescent="0.25">
      <c r="A30" s="819"/>
      <c r="B30" s="820"/>
      <c r="C30" s="820"/>
      <c r="D30" s="68" t="s">
        <v>29</v>
      </c>
      <c r="E30" s="72">
        <v>0</v>
      </c>
    </row>
    <row r="31" spans="1:5" outlineLevel="2" x14ac:dyDescent="0.25">
      <c r="A31" s="819"/>
      <c r="B31" s="820"/>
      <c r="C31" s="820"/>
      <c r="D31" s="68" t="s">
        <v>30</v>
      </c>
      <c r="E31" s="72">
        <v>0</v>
      </c>
    </row>
    <row r="32" spans="1:5" outlineLevel="2" x14ac:dyDescent="0.25">
      <c r="A32" s="819"/>
      <c r="B32" s="820"/>
      <c r="C32" s="820"/>
      <c r="D32" s="68" t="s">
        <v>31</v>
      </c>
      <c r="E32" s="72">
        <v>0</v>
      </c>
    </row>
    <row r="33" spans="1:5" outlineLevel="2" x14ac:dyDescent="0.25">
      <c r="A33" s="819"/>
      <c r="B33" s="820"/>
      <c r="C33" s="820"/>
      <c r="D33" s="68" t="s">
        <v>32</v>
      </c>
      <c r="E33" s="72">
        <v>0</v>
      </c>
    </row>
    <row r="34" spans="1:5" outlineLevel="2" x14ac:dyDescent="0.25">
      <c r="A34" s="819"/>
      <c r="B34" s="820"/>
      <c r="C34" s="820"/>
      <c r="D34" s="68" t="s">
        <v>33</v>
      </c>
      <c r="E34" s="72">
        <v>0</v>
      </c>
    </row>
    <row r="35" spans="1:5" ht="15.75" outlineLevel="2" thickBot="1" x14ac:dyDescent="0.3">
      <c r="A35" s="819"/>
      <c r="B35" s="820"/>
      <c r="C35" s="820"/>
      <c r="D35" s="69" t="s">
        <v>34</v>
      </c>
      <c r="E35" s="73">
        <v>0</v>
      </c>
    </row>
    <row r="36" spans="1:5" outlineLevel="2" x14ac:dyDescent="0.25">
      <c r="A36" s="819" t="s">
        <v>87</v>
      </c>
      <c r="B36" s="820" t="s">
        <v>81</v>
      </c>
      <c r="C36" s="820">
        <v>637005</v>
      </c>
      <c r="D36" s="67" t="s">
        <v>25</v>
      </c>
      <c r="E36" s="72">
        <v>0</v>
      </c>
    </row>
    <row r="37" spans="1:5" outlineLevel="2" x14ac:dyDescent="0.25">
      <c r="A37" s="819"/>
      <c r="B37" s="820"/>
      <c r="C37" s="820"/>
      <c r="D37" s="68" t="s">
        <v>26</v>
      </c>
      <c r="E37" s="72">
        <v>0</v>
      </c>
    </row>
    <row r="38" spans="1:5" outlineLevel="2" x14ac:dyDescent="0.25">
      <c r="A38" s="819"/>
      <c r="B38" s="820"/>
      <c r="C38" s="820"/>
      <c r="D38" s="68" t="s">
        <v>27</v>
      </c>
      <c r="E38" s="72">
        <v>0</v>
      </c>
    </row>
    <row r="39" spans="1:5" outlineLevel="2" x14ac:dyDescent="0.25">
      <c r="A39" s="819"/>
      <c r="B39" s="820"/>
      <c r="C39" s="820"/>
      <c r="D39" s="68" t="s">
        <v>28</v>
      </c>
      <c r="E39" s="72">
        <v>0</v>
      </c>
    </row>
    <row r="40" spans="1:5" outlineLevel="2" x14ac:dyDescent="0.25">
      <c r="A40" s="819"/>
      <c r="B40" s="820"/>
      <c r="C40" s="820"/>
      <c r="D40" s="68" t="s">
        <v>29</v>
      </c>
      <c r="E40" s="72">
        <v>0</v>
      </c>
    </row>
    <row r="41" spans="1:5" outlineLevel="2" x14ac:dyDescent="0.25">
      <c r="A41" s="819"/>
      <c r="B41" s="820"/>
      <c r="C41" s="820"/>
      <c r="D41" s="68" t="s">
        <v>30</v>
      </c>
      <c r="E41" s="72">
        <v>0</v>
      </c>
    </row>
    <row r="42" spans="1:5" outlineLevel="2" x14ac:dyDescent="0.25">
      <c r="A42" s="819"/>
      <c r="B42" s="820"/>
      <c r="C42" s="820"/>
      <c r="D42" s="68" t="s">
        <v>31</v>
      </c>
      <c r="E42" s="72">
        <v>0</v>
      </c>
    </row>
    <row r="43" spans="1:5" outlineLevel="2" x14ac:dyDescent="0.25">
      <c r="A43" s="819"/>
      <c r="B43" s="820"/>
      <c r="C43" s="820"/>
      <c r="D43" s="68" t="s">
        <v>32</v>
      </c>
      <c r="E43" s="72">
        <v>0</v>
      </c>
    </row>
    <row r="44" spans="1:5" outlineLevel="2" x14ac:dyDescent="0.25">
      <c r="A44" s="819"/>
      <c r="B44" s="820"/>
      <c r="C44" s="820"/>
      <c r="D44" s="68" t="s">
        <v>33</v>
      </c>
      <c r="E44" s="72">
        <v>0</v>
      </c>
    </row>
    <row r="45" spans="1:5" ht="15.75" outlineLevel="2" thickBot="1" x14ac:dyDescent="0.3">
      <c r="A45" s="819"/>
      <c r="B45" s="820"/>
      <c r="C45" s="820"/>
      <c r="D45" s="69" t="s">
        <v>34</v>
      </c>
      <c r="E45" s="73">
        <v>0</v>
      </c>
    </row>
    <row r="46" spans="1:5" outlineLevel="2" x14ac:dyDescent="0.25">
      <c r="A46" s="819" t="s">
        <v>88</v>
      </c>
      <c r="B46" s="820" t="s">
        <v>76</v>
      </c>
      <c r="C46" s="820">
        <v>718006</v>
      </c>
      <c r="D46" s="67" t="s">
        <v>25</v>
      </c>
      <c r="E46" s="72">
        <v>0</v>
      </c>
    </row>
    <row r="47" spans="1:5" outlineLevel="2" x14ac:dyDescent="0.25">
      <c r="A47" s="819"/>
      <c r="B47" s="820"/>
      <c r="C47" s="820"/>
      <c r="D47" s="68" t="s">
        <v>26</v>
      </c>
      <c r="E47" s="72">
        <v>0</v>
      </c>
    </row>
    <row r="48" spans="1:5" outlineLevel="2" x14ac:dyDescent="0.25">
      <c r="A48" s="819"/>
      <c r="B48" s="820"/>
      <c r="C48" s="820"/>
      <c r="D48" s="68" t="s">
        <v>27</v>
      </c>
      <c r="E48" s="72">
        <v>0</v>
      </c>
    </row>
    <row r="49" spans="1:5" outlineLevel="2" x14ac:dyDescent="0.25">
      <c r="A49" s="819"/>
      <c r="B49" s="820"/>
      <c r="C49" s="820"/>
      <c r="D49" s="68" t="s">
        <v>28</v>
      </c>
      <c r="E49" s="72">
        <v>0</v>
      </c>
    </row>
    <row r="50" spans="1:5" outlineLevel="2" x14ac:dyDescent="0.25">
      <c r="A50" s="819"/>
      <c r="B50" s="820"/>
      <c r="C50" s="820"/>
      <c r="D50" s="68" t="s">
        <v>29</v>
      </c>
      <c r="E50" s="72">
        <v>0</v>
      </c>
    </row>
    <row r="51" spans="1:5" outlineLevel="2" x14ac:dyDescent="0.25">
      <c r="A51" s="819"/>
      <c r="B51" s="820"/>
      <c r="C51" s="820"/>
      <c r="D51" s="68" t="s">
        <v>30</v>
      </c>
      <c r="E51" s="72">
        <v>0</v>
      </c>
    </row>
    <row r="52" spans="1:5" outlineLevel="2" x14ac:dyDescent="0.25">
      <c r="A52" s="819"/>
      <c r="B52" s="820"/>
      <c r="C52" s="820"/>
      <c r="D52" s="68" t="s">
        <v>31</v>
      </c>
      <c r="E52" s="72">
        <v>0</v>
      </c>
    </row>
    <row r="53" spans="1:5" outlineLevel="2" x14ac:dyDescent="0.25">
      <c r="A53" s="819"/>
      <c r="B53" s="820"/>
      <c r="C53" s="820"/>
      <c r="D53" s="68" t="s">
        <v>32</v>
      </c>
      <c r="E53" s="72">
        <v>0</v>
      </c>
    </row>
    <row r="54" spans="1:5" outlineLevel="2" x14ac:dyDescent="0.25">
      <c r="A54" s="819"/>
      <c r="B54" s="820"/>
      <c r="C54" s="820"/>
      <c r="D54" s="68" t="s">
        <v>33</v>
      </c>
      <c r="E54" s="72">
        <v>0</v>
      </c>
    </row>
    <row r="55" spans="1:5" ht="15.75" outlineLevel="2" thickBot="1" x14ac:dyDescent="0.3">
      <c r="A55" s="819"/>
      <c r="B55" s="820"/>
      <c r="C55" s="820"/>
      <c r="D55" s="69" t="s">
        <v>34</v>
      </c>
      <c r="E55" s="73">
        <v>0</v>
      </c>
    </row>
    <row r="56" spans="1:5" outlineLevel="2" x14ac:dyDescent="0.25">
      <c r="A56" s="819" t="s">
        <v>89</v>
      </c>
      <c r="B56" s="820" t="s">
        <v>90</v>
      </c>
      <c r="C56" s="820"/>
      <c r="D56" s="67" t="s">
        <v>25</v>
      </c>
      <c r="E56" s="72">
        <v>0</v>
      </c>
    </row>
    <row r="57" spans="1:5" outlineLevel="2" x14ac:dyDescent="0.25">
      <c r="A57" s="819"/>
      <c r="B57" s="820"/>
      <c r="C57" s="820"/>
      <c r="D57" s="68" t="s">
        <v>26</v>
      </c>
      <c r="E57" s="72">
        <v>0</v>
      </c>
    </row>
    <row r="58" spans="1:5" outlineLevel="2" x14ac:dyDescent="0.25">
      <c r="A58" s="819"/>
      <c r="B58" s="820"/>
      <c r="C58" s="820"/>
      <c r="D58" s="68" t="s">
        <v>27</v>
      </c>
      <c r="E58" s="72">
        <v>0</v>
      </c>
    </row>
    <row r="59" spans="1:5" outlineLevel="2" x14ac:dyDescent="0.25">
      <c r="A59" s="819"/>
      <c r="B59" s="820"/>
      <c r="C59" s="820"/>
      <c r="D59" s="68" t="s">
        <v>28</v>
      </c>
      <c r="E59" s="72">
        <v>0</v>
      </c>
    </row>
    <row r="60" spans="1:5" outlineLevel="2" x14ac:dyDescent="0.25">
      <c r="A60" s="819"/>
      <c r="B60" s="820"/>
      <c r="C60" s="820"/>
      <c r="D60" s="68" t="s">
        <v>29</v>
      </c>
      <c r="E60" s="72">
        <v>0</v>
      </c>
    </row>
    <row r="61" spans="1:5" outlineLevel="2" x14ac:dyDescent="0.25">
      <c r="A61" s="819"/>
      <c r="B61" s="820"/>
      <c r="C61" s="820"/>
      <c r="D61" s="68" t="s">
        <v>30</v>
      </c>
      <c r="E61" s="72">
        <v>0</v>
      </c>
    </row>
    <row r="62" spans="1:5" outlineLevel="2" x14ac:dyDescent="0.25">
      <c r="A62" s="819"/>
      <c r="B62" s="820"/>
      <c r="C62" s="820"/>
      <c r="D62" s="68" t="s">
        <v>31</v>
      </c>
      <c r="E62" s="72">
        <v>0</v>
      </c>
    </row>
    <row r="63" spans="1:5" outlineLevel="2" x14ac:dyDescent="0.25">
      <c r="A63" s="819"/>
      <c r="B63" s="820"/>
      <c r="C63" s="820"/>
      <c r="D63" s="68" t="s">
        <v>32</v>
      </c>
      <c r="E63" s="72">
        <v>0</v>
      </c>
    </row>
    <row r="64" spans="1:5" outlineLevel="2" x14ac:dyDescent="0.25">
      <c r="A64" s="819"/>
      <c r="B64" s="820"/>
      <c r="C64" s="820"/>
      <c r="D64" s="68" t="s">
        <v>33</v>
      </c>
      <c r="E64" s="72">
        <v>0</v>
      </c>
    </row>
    <row r="65" spans="1:5" ht="15.75" outlineLevel="2" thickBot="1" x14ac:dyDescent="0.3">
      <c r="A65" s="819"/>
      <c r="B65" s="820"/>
      <c r="C65" s="820"/>
      <c r="D65" s="69" t="s">
        <v>34</v>
      </c>
      <c r="E65" s="73">
        <v>0</v>
      </c>
    </row>
    <row r="66" spans="1:5" outlineLevel="2" x14ac:dyDescent="0.25">
      <c r="A66" s="819" t="s">
        <v>80</v>
      </c>
      <c r="B66" s="820" t="s">
        <v>81</v>
      </c>
      <c r="C66" s="820">
        <v>637001</v>
      </c>
      <c r="D66" s="67" t="s">
        <v>25</v>
      </c>
      <c r="E66" s="72">
        <v>0</v>
      </c>
    </row>
    <row r="67" spans="1:5" outlineLevel="2" x14ac:dyDescent="0.25">
      <c r="A67" s="819"/>
      <c r="B67" s="820"/>
      <c r="C67" s="820"/>
      <c r="D67" s="68" t="s">
        <v>26</v>
      </c>
      <c r="E67" s="72">
        <v>0</v>
      </c>
    </row>
    <row r="68" spans="1:5" outlineLevel="2" x14ac:dyDescent="0.25">
      <c r="A68" s="819"/>
      <c r="B68" s="820"/>
      <c r="C68" s="820"/>
      <c r="D68" s="68" t="s">
        <v>27</v>
      </c>
      <c r="E68" s="72">
        <v>0</v>
      </c>
    </row>
    <row r="69" spans="1:5" outlineLevel="2" x14ac:dyDescent="0.25">
      <c r="A69" s="819"/>
      <c r="B69" s="820"/>
      <c r="C69" s="820"/>
      <c r="D69" s="68" t="s">
        <v>28</v>
      </c>
      <c r="E69" s="72">
        <v>0</v>
      </c>
    </row>
    <row r="70" spans="1:5" outlineLevel="2" x14ac:dyDescent="0.25">
      <c r="A70" s="819"/>
      <c r="B70" s="820"/>
      <c r="C70" s="820"/>
      <c r="D70" s="68" t="s">
        <v>29</v>
      </c>
      <c r="E70" s="72">
        <v>0</v>
      </c>
    </row>
    <row r="71" spans="1:5" outlineLevel="2" x14ac:dyDescent="0.25">
      <c r="A71" s="819"/>
      <c r="B71" s="820"/>
      <c r="C71" s="820"/>
      <c r="D71" s="68" t="s">
        <v>30</v>
      </c>
      <c r="E71" s="72">
        <v>0</v>
      </c>
    </row>
    <row r="72" spans="1:5" outlineLevel="2" x14ac:dyDescent="0.25">
      <c r="A72" s="819"/>
      <c r="B72" s="820"/>
      <c r="C72" s="820"/>
      <c r="D72" s="68" t="s">
        <v>31</v>
      </c>
      <c r="E72" s="72">
        <v>0</v>
      </c>
    </row>
    <row r="73" spans="1:5" outlineLevel="2" x14ac:dyDescent="0.25">
      <c r="A73" s="819"/>
      <c r="B73" s="820"/>
      <c r="C73" s="820"/>
      <c r="D73" s="68" t="s">
        <v>32</v>
      </c>
      <c r="E73" s="72">
        <v>0</v>
      </c>
    </row>
    <row r="74" spans="1:5" outlineLevel="2" x14ac:dyDescent="0.25">
      <c r="A74" s="819"/>
      <c r="B74" s="820"/>
      <c r="C74" s="820"/>
      <c r="D74" s="68" t="s">
        <v>33</v>
      </c>
      <c r="E74" s="72">
        <v>0</v>
      </c>
    </row>
    <row r="75" spans="1:5" ht="15.75" outlineLevel="2" thickBot="1" x14ac:dyDescent="0.3">
      <c r="A75" s="819"/>
      <c r="B75" s="820"/>
      <c r="C75" s="820"/>
      <c r="D75" s="69" t="s">
        <v>34</v>
      </c>
      <c r="E75" s="73">
        <v>0</v>
      </c>
    </row>
  </sheetData>
  <mergeCells count="23">
    <mergeCell ref="A56:A65"/>
    <mergeCell ref="B56:B65"/>
    <mergeCell ref="C56:C65"/>
    <mergeCell ref="A66:A75"/>
    <mergeCell ref="B66:B75"/>
    <mergeCell ref="C66:C75"/>
    <mergeCell ref="A36:A45"/>
    <mergeCell ref="B36:B45"/>
    <mergeCell ref="C36:C45"/>
    <mergeCell ref="A46:A55"/>
    <mergeCell ref="B46:B55"/>
    <mergeCell ref="C46:C55"/>
    <mergeCell ref="A15:A24"/>
    <mergeCell ref="B15:B24"/>
    <mergeCell ref="C15:C24"/>
    <mergeCell ref="A26:A35"/>
    <mergeCell ref="B26:B35"/>
    <mergeCell ref="C26:C35"/>
    <mergeCell ref="A1:D1"/>
    <mergeCell ref="A3:C3"/>
    <mergeCell ref="A5:A14"/>
    <mergeCell ref="B5:B14"/>
    <mergeCell ref="C5:C14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E53"/>
  <sheetViews>
    <sheetView view="pageBreakPreview" zoomScale="60" zoomScaleNormal="85" workbookViewId="0">
      <selection activeCell="F13" sqref="F13"/>
    </sheetView>
  </sheetViews>
  <sheetFormatPr defaultColWidth="8.85546875" defaultRowHeight="15" outlineLevelRow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5" ht="25.35" customHeight="1" thickBot="1" x14ac:dyDescent="0.4">
      <c r="A1" s="815" t="s">
        <v>101</v>
      </c>
      <c r="B1" s="815"/>
      <c r="C1" s="815"/>
      <c r="D1" s="816"/>
      <c r="E1" s="70" t="s">
        <v>35</v>
      </c>
    </row>
    <row r="2" spans="1:5" ht="15.75" thickBot="1" x14ac:dyDescent="0.3">
      <c r="A2" s="40" t="s">
        <v>0</v>
      </c>
      <c r="B2" s="75" t="s">
        <v>78</v>
      </c>
      <c r="C2" s="75" t="s">
        <v>77</v>
      </c>
      <c r="D2" s="75" t="s">
        <v>23</v>
      </c>
      <c r="E2" s="17"/>
    </row>
    <row r="3" spans="1:5" ht="15.75" thickBot="1" x14ac:dyDescent="0.3">
      <c r="A3" s="821" t="s">
        <v>92</v>
      </c>
      <c r="B3" s="821"/>
      <c r="C3" s="821"/>
      <c r="D3" s="76"/>
      <c r="E3" s="77">
        <f>SUM(E4:E53)</f>
        <v>0</v>
      </c>
    </row>
    <row r="4" spans="1:5" outlineLevel="1" x14ac:dyDescent="0.25">
      <c r="A4" s="819" t="s">
        <v>97</v>
      </c>
      <c r="B4" s="820" t="s">
        <v>84</v>
      </c>
      <c r="C4" s="820">
        <v>635002</v>
      </c>
      <c r="D4" s="67" t="s">
        <v>25</v>
      </c>
      <c r="E4" s="71">
        <v>0</v>
      </c>
    </row>
    <row r="5" spans="1:5" outlineLevel="1" x14ac:dyDescent="0.25">
      <c r="A5" s="819"/>
      <c r="B5" s="820"/>
      <c r="C5" s="820"/>
      <c r="D5" s="68" t="s">
        <v>26</v>
      </c>
      <c r="E5" s="72">
        <v>0</v>
      </c>
    </row>
    <row r="6" spans="1:5" outlineLevel="1" x14ac:dyDescent="0.25">
      <c r="A6" s="819"/>
      <c r="B6" s="820"/>
      <c r="C6" s="820"/>
      <c r="D6" s="68" t="s">
        <v>27</v>
      </c>
      <c r="E6" s="72">
        <v>0</v>
      </c>
    </row>
    <row r="7" spans="1:5" outlineLevel="1" x14ac:dyDescent="0.25">
      <c r="A7" s="819"/>
      <c r="B7" s="820"/>
      <c r="C7" s="820"/>
      <c r="D7" s="68" t="s">
        <v>28</v>
      </c>
      <c r="E7" s="72">
        <v>0</v>
      </c>
    </row>
    <row r="8" spans="1:5" outlineLevel="1" x14ac:dyDescent="0.25">
      <c r="A8" s="819"/>
      <c r="B8" s="820"/>
      <c r="C8" s="820"/>
      <c r="D8" s="68" t="s">
        <v>29</v>
      </c>
      <c r="E8" s="72">
        <v>0</v>
      </c>
    </row>
    <row r="9" spans="1:5" outlineLevel="1" x14ac:dyDescent="0.25">
      <c r="A9" s="819"/>
      <c r="B9" s="820"/>
      <c r="C9" s="820"/>
      <c r="D9" s="68" t="s">
        <v>30</v>
      </c>
      <c r="E9" s="72">
        <v>0</v>
      </c>
    </row>
    <row r="10" spans="1:5" outlineLevel="1" x14ac:dyDescent="0.25">
      <c r="A10" s="819"/>
      <c r="B10" s="820"/>
      <c r="C10" s="820"/>
      <c r="D10" s="68" t="s">
        <v>31</v>
      </c>
      <c r="E10" s="72">
        <v>0</v>
      </c>
    </row>
    <row r="11" spans="1:5" outlineLevel="1" x14ac:dyDescent="0.25">
      <c r="A11" s="819"/>
      <c r="B11" s="820"/>
      <c r="C11" s="820"/>
      <c r="D11" s="68" t="s">
        <v>32</v>
      </c>
      <c r="E11" s="72">
        <v>0</v>
      </c>
    </row>
    <row r="12" spans="1:5" outlineLevel="1" x14ac:dyDescent="0.25">
      <c r="A12" s="819"/>
      <c r="B12" s="820"/>
      <c r="C12" s="820"/>
      <c r="D12" s="68" t="s">
        <v>33</v>
      </c>
      <c r="E12" s="72">
        <v>0</v>
      </c>
    </row>
    <row r="13" spans="1:5" ht="15.75" outlineLevel="1" thickBot="1" x14ac:dyDescent="0.3">
      <c r="A13" s="819"/>
      <c r="B13" s="820"/>
      <c r="C13" s="820"/>
      <c r="D13" s="69" t="s">
        <v>34</v>
      </c>
      <c r="E13" s="73">
        <v>0</v>
      </c>
    </row>
    <row r="14" spans="1:5" outlineLevel="1" x14ac:dyDescent="0.25">
      <c r="A14" s="819" t="s">
        <v>98</v>
      </c>
      <c r="B14" s="819" t="s">
        <v>96</v>
      </c>
      <c r="C14" s="820">
        <v>718002</v>
      </c>
      <c r="D14" s="67" t="s">
        <v>25</v>
      </c>
      <c r="E14" s="72">
        <v>0</v>
      </c>
    </row>
    <row r="15" spans="1:5" outlineLevel="1" x14ac:dyDescent="0.25">
      <c r="A15" s="819"/>
      <c r="B15" s="820"/>
      <c r="C15" s="820"/>
      <c r="D15" s="68" t="s">
        <v>26</v>
      </c>
      <c r="E15" s="72">
        <v>0</v>
      </c>
    </row>
    <row r="16" spans="1:5" outlineLevel="1" x14ac:dyDescent="0.25">
      <c r="A16" s="819"/>
      <c r="B16" s="820"/>
      <c r="C16" s="820"/>
      <c r="D16" s="68" t="s">
        <v>27</v>
      </c>
      <c r="E16" s="72">
        <v>0</v>
      </c>
    </row>
    <row r="17" spans="1:5" outlineLevel="1" x14ac:dyDescent="0.25">
      <c r="A17" s="819"/>
      <c r="B17" s="820"/>
      <c r="C17" s="820"/>
      <c r="D17" s="68" t="s">
        <v>28</v>
      </c>
      <c r="E17" s="72">
        <v>0</v>
      </c>
    </row>
    <row r="18" spans="1:5" outlineLevel="1" x14ac:dyDescent="0.25">
      <c r="A18" s="819"/>
      <c r="B18" s="820"/>
      <c r="C18" s="820"/>
      <c r="D18" s="68" t="s">
        <v>29</v>
      </c>
      <c r="E18" s="72">
        <v>0</v>
      </c>
    </row>
    <row r="19" spans="1:5" outlineLevel="1" x14ac:dyDescent="0.25">
      <c r="A19" s="819"/>
      <c r="B19" s="820"/>
      <c r="C19" s="820"/>
      <c r="D19" s="68" t="s">
        <v>30</v>
      </c>
      <c r="E19" s="72">
        <v>0</v>
      </c>
    </row>
    <row r="20" spans="1:5" outlineLevel="1" x14ac:dyDescent="0.25">
      <c r="A20" s="819"/>
      <c r="B20" s="820"/>
      <c r="C20" s="820"/>
      <c r="D20" s="68" t="s">
        <v>31</v>
      </c>
      <c r="E20" s="72">
        <v>0</v>
      </c>
    </row>
    <row r="21" spans="1:5" outlineLevel="1" x14ac:dyDescent="0.25">
      <c r="A21" s="819"/>
      <c r="B21" s="820"/>
      <c r="C21" s="820"/>
      <c r="D21" s="68" t="s">
        <v>32</v>
      </c>
      <c r="E21" s="72">
        <v>0</v>
      </c>
    </row>
    <row r="22" spans="1:5" outlineLevel="1" x14ac:dyDescent="0.25">
      <c r="A22" s="819"/>
      <c r="B22" s="820"/>
      <c r="C22" s="820"/>
      <c r="D22" s="68" t="s">
        <v>33</v>
      </c>
      <c r="E22" s="72">
        <v>0</v>
      </c>
    </row>
    <row r="23" spans="1:5" ht="15.75" outlineLevel="1" thickBot="1" x14ac:dyDescent="0.3">
      <c r="A23" s="819"/>
      <c r="B23" s="820"/>
      <c r="C23" s="820"/>
      <c r="D23" s="69" t="s">
        <v>34</v>
      </c>
      <c r="E23" s="73">
        <v>0</v>
      </c>
    </row>
    <row r="24" spans="1:5" outlineLevel="1" x14ac:dyDescent="0.25">
      <c r="A24" s="819" t="s">
        <v>99</v>
      </c>
      <c r="B24" s="820"/>
      <c r="C24" s="820"/>
      <c r="D24" s="67" t="s">
        <v>25</v>
      </c>
      <c r="E24" s="72">
        <v>0</v>
      </c>
    </row>
    <row r="25" spans="1:5" outlineLevel="1" x14ac:dyDescent="0.25">
      <c r="A25" s="819"/>
      <c r="B25" s="820"/>
      <c r="C25" s="820"/>
      <c r="D25" s="68" t="s">
        <v>26</v>
      </c>
      <c r="E25" s="72">
        <v>0</v>
      </c>
    </row>
    <row r="26" spans="1:5" outlineLevel="1" x14ac:dyDescent="0.25">
      <c r="A26" s="819"/>
      <c r="B26" s="820"/>
      <c r="C26" s="820"/>
      <c r="D26" s="68" t="s">
        <v>27</v>
      </c>
      <c r="E26" s="72">
        <v>0</v>
      </c>
    </row>
    <row r="27" spans="1:5" outlineLevel="1" x14ac:dyDescent="0.25">
      <c r="A27" s="819"/>
      <c r="B27" s="820"/>
      <c r="C27" s="820"/>
      <c r="D27" s="68" t="s">
        <v>28</v>
      </c>
      <c r="E27" s="72">
        <v>0</v>
      </c>
    </row>
    <row r="28" spans="1:5" outlineLevel="1" x14ac:dyDescent="0.25">
      <c r="A28" s="819"/>
      <c r="B28" s="820"/>
      <c r="C28" s="820"/>
      <c r="D28" s="68" t="s">
        <v>29</v>
      </c>
      <c r="E28" s="72">
        <v>0</v>
      </c>
    </row>
    <row r="29" spans="1:5" outlineLevel="1" x14ac:dyDescent="0.25">
      <c r="A29" s="819"/>
      <c r="B29" s="820"/>
      <c r="C29" s="820"/>
      <c r="D29" s="68" t="s">
        <v>30</v>
      </c>
      <c r="E29" s="72">
        <v>0</v>
      </c>
    </row>
    <row r="30" spans="1:5" outlineLevel="1" x14ac:dyDescent="0.25">
      <c r="A30" s="819"/>
      <c r="B30" s="820"/>
      <c r="C30" s="820"/>
      <c r="D30" s="68" t="s">
        <v>31</v>
      </c>
      <c r="E30" s="72">
        <v>0</v>
      </c>
    </row>
    <row r="31" spans="1:5" outlineLevel="1" x14ac:dyDescent="0.25">
      <c r="A31" s="819"/>
      <c r="B31" s="820"/>
      <c r="C31" s="820"/>
      <c r="D31" s="68" t="s">
        <v>32</v>
      </c>
      <c r="E31" s="72">
        <v>0</v>
      </c>
    </row>
    <row r="32" spans="1:5" outlineLevel="1" x14ac:dyDescent="0.25">
      <c r="A32" s="819"/>
      <c r="B32" s="820"/>
      <c r="C32" s="820"/>
      <c r="D32" s="68" t="s">
        <v>33</v>
      </c>
      <c r="E32" s="72">
        <v>0</v>
      </c>
    </row>
    <row r="33" spans="1:5" ht="15.75" outlineLevel="1" thickBot="1" x14ac:dyDescent="0.3">
      <c r="A33" s="819"/>
      <c r="B33" s="820"/>
      <c r="C33" s="820"/>
      <c r="D33" s="69" t="s">
        <v>34</v>
      </c>
      <c r="E33" s="73">
        <v>0</v>
      </c>
    </row>
    <row r="34" spans="1:5" outlineLevel="1" x14ac:dyDescent="0.25">
      <c r="A34" s="819" t="s">
        <v>100</v>
      </c>
      <c r="B34" s="820"/>
      <c r="C34" s="820"/>
      <c r="D34" s="67" t="s">
        <v>25</v>
      </c>
      <c r="E34" s="72">
        <v>0</v>
      </c>
    </row>
    <row r="35" spans="1:5" outlineLevel="1" x14ac:dyDescent="0.25">
      <c r="A35" s="819"/>
      <c r="B35" s="820"/>
      <c r="C35" s="820"/>
      <c r="D35" s="68" t="s">
        <v>26</v>
      </c>
      <c r="E35" s="72">
        <v>0</v>
      </c>
    </row>
    <row r="36" spans="1:5" outlineLevel="1" x14ac:dyDescent="0.25">
      <c r="A36" s="819"/>
      <c r="B36" s="820"/>
      <c r="C36" s="820"/>
      <c r="D36" s="68" t="s">
        <v>27</v>
      </c>
      <c r="E36" s="72">
        <v>0</v>
      </c>
    </row>
    <row r="37" spans="1:5" outlineLevel="1" x14ac:dyDescent="0.25">
      <c r="A37" s="819"/>
      <c r="B37" s="820"/>
      <c r="C37" s="820"/>
      <c r="D37" s="68" t="s">
        <v>28</v>
      </c>
      <c r="E37" s="72">
        <v>0</v>
      </c>
    </row>
    <row r="38" spans="1:5" outlineLevel="1" x14ac:dyDescent="0.25">
      <c r="A38" s="819"/>
      <c r="B38" s="820"/>
      <c r="C38" s="820"/>
      <c r="D38" s="68" t="s">
        <v>29</v>
      </c>
      <c r="E38" s="72">
        <v>0</v>
      </c>
    </row>
    <row r="39" spans="1:5" outlineLevel="1" x14ac:dyDescent="0.25">
      <c r="A39" s="819"/>
      <c r="B39" s="820"/>
      <c r="C39" s="820"/>
      <c r="D39" s="68" t="s">
        <v>30</v>
      </c>
      <c r="E39" s="72">
        <v>0</v>
      </c>
    </row>
    <row r="40" spans="1:5" outlineLevel="1" x14ac:dyDescent="0.25">
      <c r="A40" s="819"/>
      <c r="B40" s="820"/>
      <c r="C40" s="820"/>
      <c r="D40" s="68" t="s">
        <v>31</v>
      </c>
      <c r="E40" s="72">
        <v>0</v>
      </c>
    </row>
    <row r="41" spans="1:5" outlineLevel="1" x14ac:dyDescent="0.25">
      <c r="A41" s="819"/>
      <c r="B41" s="820"/>
      <c r="C41" s="820"/>
      <c r="D41" s="68" t="s">
        <v>32</v>
      </c>
      <c r="E41" s="72">
        <v>0</v>
      </c>
    </row>
    <row r="42" spans="1:5" outlineLevel="1" x14ac:dyDescent="0.25">
      <c r="A42" s="819"/>
      <c r="B42" s="820"/>
      <c r="C42" s="820"/>
      <c r="D42" s="68" t="s">
        <v>33</v>
      </c>
      <c r="E42" s="72">
        <v>0</v>
      </c>
    </row>
    <row r="43" spans="1:5" ht="15.75" outlineLevel="1" thickBot="1" x14ac:dyDescent="0.3">
      <c r="A43" s="819"/>
      <c r="B43" s="820"/>
      <c r="C43" s="820"/>
      <c r="D43" s="69" t="s">
        <v>34</v>
      </c>
      <c r="E43" s="73">
        <v>0</v>
      </c>
    </row>
    <row r="44" spans="1:5" outlineLevel="1" x14ac:dyDescent="0.25">
      <c r="A44" s="819" t="s">
        <v>95</v>
      </c>
      <c r="B44" s="820" t="s">
        <v>81</v>
      </c>
      <c r="C44" s="820">
        <v>637001</v>
      </c>
      <c r="D44" s="67" t="s">
        <v>25</v>
      </c>
      <c r="E44" s="72">
        <v>0</v>
      </c>
    </row>
    <row r="45" spans="1:5" outlineLevel="1" x14ac:dyDescent="0.25">
      <c r="A45" s="819"/>
      <c r="B45" s="820"/>
      <c r="C45" s="820"/>
      <c r="D45" s="68" t="s">
        <v>26</v>
      </c>
      <c r="E45" s="72">
        <v>0</v>
      </c>
    </row>
    <row r="46" spans="1:5" outlineLevel="1" x14ac:dyDescent="0.25">
      <c r="A46" s="819"/>
      <c r="B46" s="820"/>
      <c r="C46" s="820"/>
      <c r="D46" s="68" t="s">
        <v>27</v>
      </c>
      <c r="E46" s="72">
        <v>0</v>
      </c>
    </row>
    <row r="47" spans="1:5" outlineLevel="1" x14ac:dyDescent="0.25">
      <c r="A47" s="819"/>
      <c r="B47" s="820"/>
      <c r="C47" s="820"/>
      <c r="D47" s="68" t="s">
        <v>28</v>
      </c>
      <c r="E47" s="72">
        <v>0</v>
      </c>
    </row>
    <row r="48" spans="1:5" outlineLevel="1" x14ac:dyDescent="0.25">
      <c r="A48" s="819"/>
      <c r="B48" s="820"/>
      <c r="C48" s="820"/>
      <c r="D48" s="68" t="s">
        <v>29</v>
      </c>
      <c r="E48" s="72">
        <v>0</v>
      </c>
    </row>
    <row r="49" spans="1:5" outlineLevel="1" x14ac:dyDescent="0.25">
      <c r="A49" s="819"/>
      <c r="B49" s="820"/>
      <c r="C49" s="820"/>
      <c r="D49" s="68" t="s">
        <v>30</v>
      </c>
      <c r="E49" s="72">
        <v>0</v>
      </c>
    </row>
    <row r="50" spans="1:5" outlineLevel="1" x14ac:dyDescent="0.25">
      <c r="A50" s="819"/>
      <c r="B50" s="820"/>
      <c r="C50" s="820"/>
      <c r="D50" s="68" t="s">
        <v>31</v>
      </c>
      <c r="E50" s="72">
        <v>0</v>
      </c>
    </row>
    <row r="51" spans="1:5" outlineLevel="1" x14ac:dyDescent="0.25">
      <c r="A51" s="819"/>
      <c r="B51" s="820"/>
      <c r="C51" s="820"/>
      <c r="D51" s="68" t="s">
        <v>32</v>
      </c>
      <c r="E51" s="72">
        <v>0</v>
      </c>
    </row>
    <row r="52" spans="1:5" outlineLevel="1" x14ac:dyDescent="0.25">
      <c r="A52" s="819"/>
      <c r="B52" s="820"/>
      <c r="C52" s="820"/>
      <c r="D52" s="68" t="s">
        <v>33</v>
      </c>
      <c r="E52" s="72">
        <v>0</v>
      </c>
    </row>
    <row r="53" spans="1:5" ht="15.75" outlineLevel="1" thickBot="1" x14ac:dyDescent="0.3">
      <c r="A53" s="819"/>
      <c r="B53" s="820"/>
      <c r="C53" s="820"/>
      <c r="D53" s="69" t="s">
        <v>34</v>
      </c>
      <c r="E53" s="73">
        <v>0</v>
      </c>
    </row>
  </sheetData>
  <mergeCells count="17">
    <mergeCell ref="A34:A43"/>
    <mergeCell ref="B34:B43"/>
    <mergeCell ref="C34:C43"/>
    <mergeCell ref="A44:A53"/>
    <mergeCell ref="B44:B53"/>
    <mergeCell ref="C44:C53"/>
    <mergeCell ref="A14:A23"/>
    <mergeCell ref="B14:B23"/>
    <mergeCell ref="C14:C23"/>
    <mergeCell ref="A24:A33"/>
    <mergeCell ref="B24:B33"/>
    <mergeCell ref="C24:C33"/>
    <mergeCell ref="A1:D1"/>
    <mergeCell ref="A3:C3"/>
    <mergeCell ref="A4:A13"/>
    <mergeCell ref="B4:B13"/>
    <mergeCell ref="C4:C13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T170"/>
  <sheetViews>
    <sheetView view="pageBreakPreview" zoomScale="85" zoomScaleNormal="85" zoomScaleSheetLayoutView="85" workbookViewId="0">
      <selection activeCell="U105" sqref="U105"/>
    </sheetView>
  </sheetViews>
  <sheetFormatPr defaultColWidth="8.85546875" defaultRowHeight="15" outlineLevelRow="2" outlineLevelCol="1" x14ac:dyDescent="0.25"/>
  <cols>
    <col min="1" max="1" width="22.42578125" customWidth="1"/>
    <col min="2" max="2" width="24.5703125" customWidth="1"/>
    <col min="3" max="3" width="22.42578125" customWidth="1"/>
    <col min="5" max="5" width="17.85546875" customWidth="1"/>
    <col min="6" max="6" width="16.7109375" customWidth="1" outlineLevel="1"/>
    <col min="7" max="19" width="19.28515625" customWidth="1" outlineLevel="1"/>
    <col min="20" max="20" width="22.140625" customWidth="1" outlineLevel="1"/>
  </cols>
  <sheetData>
    <row r="1" spans="1:20" ht="45.75" thickBot="1" x14ac:dyDescent="0.4">
      <c r="A1" s="815" t="s">
        <v>102</v>
      </c>
      <c r="B1" s="815"/>
      <c r="C1" s="815"/>
      <c r="D1" s="816"/>
      <c r="E1" s="70" t="s">
        <v>35</v>
      </c>
      <c r="F1" s="336" t="s">
        <v>379</v>
      </c>
      <c r="G1" s="336" t="s">
        <v>371</v>
      </c>
      <c r="H1" s="336" t="s">
        <v>380</v>
      </c>
      <c r="I1" s="336" t="s">
        <v>372</v>
      </c>
      <c r="J1" s="336" t="s">
        <v>373</v>
      </c>
      <c r="K1" s="336" t="s">
        <v>381</v>
      </c>
      <c r="L1" s="336" t="s">
        <v>374</v>
      </c>
      <c r="M1" s="336" t="s">
        <v>382</v>
      </c>
      <c r="N1" s="336" t="s">
        <v>375</v>
      </c>
      <c r="O1" s="336" t="s">
        <v>376</v>
      </c>
      <c r="P1" s="336" t="s">
        <v>377</v>
      </c>
      <c r="Q1" s="336" t="s">
        <v>378</v>
      </c>
      <c r="R1" s="336" t="s">
        <v>436</v>
      </c>
      <c r="S1" s="336" t="s">
        <v>383</v>
      </c>
      <c r="T1" s="336" t="s">
        <v>349</v>
      </c>
    </row>
    <row r="2" spans="1:20" ht="15.75" thickBot="1" x14ac:dyDescent="0.3">
      <c r="A2" s="40" t="s">
        <v>0</v>
      </c>
      <c r="B2" s="75" t="s">
        <v>78</v>
      </c>
      <c r="C2" s="75" t="s">
        <v>77</v>
      </c>
      <c r="D2" s="75" t="s">
        <v>23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.75" thickBot="1" x14ac:dyDescent="0.3">
      <c r="A3" s="822" t="s">
        <v>122</v>
      </c>
      <c r="B3" s="823"/>
      <c r="C3" s="823"/>
      <c r="D3" s="80"/>
      <c r="E3" s="77">
        <f t="shared" ref="E3:T3" si="0">E4+E25</f>
        <v>16811110</v>
      </c>
      <c r="F3" s="78">
        <f t="shared" si="0"/>
        <v>322694.40000000002</v>
      </c>
      <c r="G3" s="78">
        <f t="shared" si="0"/>
        <v>645514.4</v>
      </c>
      <c r="H3" s="292">
        <f t="shared" si="0"/>
        <v>3760158.4</v>
      </c>
      <c r="I3" s="292">
        <f t="shared" si="0"/>
        <v>2459298.4</v>
      </c>
      <c r="J3" s="78">
        <f t="shared" si="0"/>
        <v>892430.4</v>
      </c>
      <c r="K3" s="78">
        <f t="shared" si="0"/>
        <v>592438.4</v>
      </c>
      <c r="L3" s="292">
        <f t="shared" si="0"/>
        <v>509782.4</v>
      </c>
      <c r="M3" s="78">
        <f t="shared" si="0"/>
        <v>813946.4</v>
      </c>
      <c r="N3" s="78">
        <f t="shared" si="0"/>
        <v>1459514.4</v>
      </c>
      <c r="O3" s="292">
        <f t="shared" si="0"/>
        <v>2465042.4</v>
      </c>
      <c r="P3" s="292">
        <f t="shared" si="0"/>
        <v>443780.4</v>
      </c>
      <c r="Q3" s="78">
        <f t="shared" si="0"/>
        <v>465578.4</v>
      </c>
      <c r="R3" s="78">
        <f t="shared" si="0"/>
        <v>186866.4</v>
      </c>
      <c r="S3" s="292">
        <f t="shared" si="0"/>
        <v>1130570.3999999999</v>
      </c>
      <c r="T3" s="79">
        <f t="shared" si="0"/>
        <v>663494.40000000002</v>
      </c>
    </row>
    <row r="4" spans="1:20" ht="15.75" outlineLevel="1" thickBot="1" x14ac:dyDescent="0.3">
      <c r="A4" s="17" t="s">
        <v>109</v>
      </c>
      <c r="B4" s="17"/>
      <c r="C4" s="17"/>
      <c r="D4" s="28"/>
      <c r="E4" s="77">
        <f t="shared" ref="E4:T4" si="1">SUM(E5:E24)</f>
        <v>3757056</v>
      </c>
      <c r="F4" s="78">
        <f t="shared" si="1"/>
        <v>0</v>
      </c>
      <c r="G4" s="78">
        <f t="shared" si="1"/>
        <v>188000</v>
      </c>
      <c r="H4" s="292">
        <f t="shared" si="1"/>
        <v>748120</v>
      </c>
      <c r="I4" s="292">
        <f t="shared" si="1"/>
        <v>558000</v>
      </c>
      <c r="J4" s="78">
        <f t="shared" si="1"/>
        <v>237600</v>
      </c>
      <c r="K4" s="78">
        <f t="shared" si="1"/>
        <v>50000</v>
      </c>
      <c r="L4" s="292">
        <f t="shared" si="1"/>
        <v>50000</v>
      </c>
      <c r="M4" s="78">
        <f t="shared" si="1"/>
        <v>50000</v>
      </c>
      <c r="N4" s="78">
        <f t="shared" si="1"/>
        <v>624000</v>
      </c>
      <c r="O4" s="292">
        <f t="shared" si="1"/>
        <v>681000</v>
      </c>
      <c r="P4" s="292">
        <f t="shared" si="1"/>
        <v>0</v>
      </c>
      <c r="Q4" s="78">
        <f t="shared" si="1"/>
        <v>0</v>
      </c>
      <c r="R4" s="78">
        <f t="shared" si="1"/>
        <v>0</v>
      </c>
      <c r="S4" s="292">
        <f t="shared" si="1"/>
        <v>288000</v>
      </c>
      <c r="T4" s="79">
        <f t="shared" si="1"/>
        <v>282336</v>
      </c>
    </row>
    <row r="5" spans="1:20" outlineLevel="2" x14ac:dyDescent="0.25">
      <c r="A5" s="819" t="s">
        <v>75</v>
      </c>
      <c r="B5" s="820" t="s">
        <v>76</v>
      </c>
      <c r="C5" s="820">
        <v>711003</v>
      </c>
      <c r="D5" s="67" t="s">
        <v>25</v>
      </c>
      <c r="E5" s="64">
        <f t="shared" ref="E5:E24" si="2">SUM(F5:T5)</f>
        <v>3757056</v>
      </c>
      <c r="F5" s="128">
        <v>0</v>
      </c>
      <c r="G5" s="128">
        <f>50000+2*69000</f>
        <v>188000</v>
      </c>
      <c r="H5" s="128">
        <f>50000+3*69000+4*48000+232000+67120</f>
        <v>748120</v>
      </c>
      <c r="I5" s="128">
        <f>50000+4*69000+232000</f>
        <v>558000</v>
      </c>
      <c r="J5" s="128">
        <v>237600</v>
      </c>
      <c r="K5" s="128">
        <f>50000</f>
        <v>50000</v>
      </c>
      <c r="L5" s="128">
        <f>50000</f>
        <v>50000</v>
      </c>
      <c r="M5" s="128">
        <f>50000</f>
        <v>50000</v>
      </c>
      <c r="N5" s="128">
        <v>624000</v>
      </c>
      <c r="O5" s="128">
        <f>50000+3*69000+4*48000+232000</f>
        <v>681000</v>
      </c>
      <c r="P5" s="128">
        <v>0</v>
      </c>
      <c r="Q5" s="128">
        <v>0</v>
      </c>
      <c r="R5" s="128">
        <v>0</v>
      </c>
      <c r="S5" s="128">
        <f>6*48000</f>
        <v>288000</v>
      </c>
      <c r="T5" s="128">
        <v>282336</v>
      </c>
    </row>
    <row r="6" spans="1:20" outlineLevel="2" x14ac:dyDescent="0.25">
      <c r="A6" s="819"/>
      <c r="B6" s="820"/>
      <c r="C6" s="820"/>
      <c r="D6" s="68" t="s">
        <v>26</v>
      </c>
      <c r="E6" s="65">
        <f t="shared" si="2"/>
        <v>0</v>
      </c>
      <c r="F6" s="130">
        <v>0</v>
      </c>
      <c r="G6" s="131">
        <v>0</v>
      </c>
      <c r="H6" s="294">
        <v>0</v>
      </c>
      <c r="I6" s="294">
        <v>0</v>
      </c>
      <c r="J6" s="130">
        <v>0</v>
      </c>
      <c r="K6" s="131">
        <v>0</v>
      </c>
      <c r="L6" s="294">
        <v>0</v>
      </c>
      <c r="M6" s="130">
        <v>0</v>
      </c>
      <c r="N6" s="131">
        <v>0</v>
      </c>
      <c r="O6" s="294">
        <v>0</v>
      </c>
      <c r="P6" s="294">
        <v>0</v>
      </c>
      <c r="Q6" s="130">
        <v>0</v>
      </c>
      <c r="R6" s="131">
        <v>0</v>
      </c>
      <c r="S6" s="294">
        <v>0</v>
      </c>
      <c r="T6" s="135">
        <v>0</v>
      </c>
    </row>
    <row r="7" spans="1:20" outlineLevel="2" x14ac:dyDescent="0.25">
      <c r="A7" s="819"/>
      <c r="B7" s="820"/>
      <c r="C7" s="820"/>
      <c r="D7" s="68" t="s">
        <v>27</v>
      </c>
      <c r="E7" s="65">
        <f t="shared" si="2"/>
        <v>0</v>
      </c>
      <c r="F7" s="130">
        <v>0</v>
      </c>
      <c r="G7" s="131">
        <v>0</v>
      </c>
      <c r="H7" s="294">
        <v>0</v>
      </c>
      <c r="I7" s="294">
        <v>0</v>
      </c>
      <c r="J7" s="130">
        <v>0</v>
      </c>
      <c r="K7" s="131">
        <v>0</v>
      </c>
      <c r="L7" s="294">
        <v>0</v>
      </c>
      <c r="M7" s="130">
        <v>0</v>
      </c>
      <c r="N7" s="131">
        <v>0</v>
      </c>
      <c r="O7" s="294">
        <v>0</v>
      </c>
      <c r="P7" s="294">
        <v>0</v>
      </c>
      <c r="Q7" s="130">
        <v>0</v>
      </c>
      <c r="R7" s="131">
        <v>0</v>
      </c>
      <c r="S7" s="294">
        <v>0</v>
      </c>
      <c r="T7" s="135">
        <v>0</v>
      </c>
    </row>
    <row r="8" spans="1:20" outlineLevel="2" x14ac:dyDescent="0.25">
      <c r="A8" s="819"/>
      <c r="B8" s="820"/>
      <c r="C8" s="820"/>
      <c r="D8" s="68" t="s">
        <v>28</v>
      </c>
      <c r="E8" s="65">
        <f t="shared" si="2"/>
        <v>0</v>
      </c>
      <c r="F8" s="130">
        <v>0</v>
      </c>
      <c r="G8" s="131">
        <v>0</v>
      </c>
      <c r="H8" s="294">
        <v>0</v>
      </c>
      <c r="I8" s="294">
        <v>0</v>
      </c>
      <c r="J8" s="130">
        <v>0</v>
      </c>
      <c r="K8" s="131">
        <v>0</v>
      </c>
      <c r="L8" s="294">
        <v>0</v>
      </c>
      <c r="M8" s="130">
        <v>0</v>
      </c>
      <c r="N8" s="131">
        <v>0</v>
      </c>
      <c r="O8" s="294">
        <v>0</v>
      </c>
      <c r="P8" s="294">
        <v>0</v>
      </c>
      <c r="Q8" s="130">
        <v>0</v>
      </c>
      <c r="R8" s="131">
        <v>0</v>
      </c>
      <c r="S8" s="294">
        <v>0</v>
      </c>
      <c r="T8" s="135">
        <v>0</v>
      </c>
    </row>
    <row r="9" spans="1:20" outlineLevel="2" x14ac:dyDescent="0.25">
      <c r="A9" s="819"/>
      <c r="B9" s="820"/>
      <c r="C9" s="820"/>
      <c r="D9" s="68" t="s">
        <v>29</v>
      </c>
      <c r="E9" s="65">
        <f t="shared" si="2"/>
        <v>0</v>
      </c>
      <c r="F9" s="130">
        <v>0</v>
      </c>
      <c r="G9" s="131">
        <v>0</v>
      </c>
      <c r="H9" s="294">
        <v>0</v>
      </c>
      <c r="I9" s="294">
        <v>0</v>
      </c>
      <c r="J9" s="130">
        <v>0</v>
      </c>
      <c r="K9" s="131">
        <v>0</v>
      </c>
      <c r="L9" s="294">
        <v>0</v>
      </c>
      <c r="M9" s="130">
        <v>0</v>
      </c>
      <c r="N9" s="131">
        <v>0</v>
      </c>
      <c r="O9" s="294">
        <v>0</v>
      </c>
      <c r="P9" s="294">
        <v>0</v>
      </c>
      <c r="Q9" s="130">
        <v>0</v>
      </c>
      <c r="R9" s="131">
        <v>0</v>
      </c>
      <c r="S9" s="294">
        <v>0</v>
      </c>
      <c r="T9" s="135">
        <v>0</v>
      </c>
    </row>
    <row r="10" spans="1:20" outlineLevel="2" x14ac:dyDescent="0.25">
      <c r="A10" s="819"/>
      <c r="B10" s="820"/>
      <c r="C10" s="820"/>
      <c r="D10" s="68" t="s">
        <v>30</v>
      </c>
      <c r="E10" s="65">
        <f t="shared" si="2"/>
        <v>0</v>
      </c>
      <c r="F10" s="130">
        <v>0</v>
      </c>
      <c r="G10" s="131">
        <v>0</v>
      </c>
      <c r="H10" s="294">
        <v>0</v>
      </c>
      <c r="I10" s="294">
        <v>0</v>
      </c>
      <c r="J10" s="130">
        <v>0</v>
      </c>
      <c r="K10" s="131">
        <v>0</v>
      </c>
      <c r="L10" s="294">
        <v>0</v>
      </c>
      <c r="M10" s="130">
        <v>0</v>
      </c>
      <c r="N10" s="131">
        <v>0</v>
      </c>
      <c r="O10" s="294">
        <v>0</v>
      </c>
      <c r="P10" s="294">
        <v>0</v>
      </c>
      <c r="Q10" s="130">
        <v>0</v>
      </c>
      <c r="R10" s="131">
        <v>0</v>
      </c>
      <c r="S10" s="294">
        <v>0</v>
      </c>
      <c r="T10" s="135">
        <v>0</v>
      </c>
    </row>
    <row r="11" spans="1:20" outlineLevel="2" x14ac:dyDescent="0.25">
      <c r="A11" s="819"/>
      <c r="B11" s="820"/>
      <c r="C11" s="820"/>
      <c r="D11" s="68" t="s">
        <v>31</v>
      </c>
      <c r="E11" s="65">
        <f t="shared" si="2"/>
        <v>0</v>
      </c>
      <c r="F11" s="130">
        <v>0</v>
      </c>
      <c r="G11" s="131">
        <v>0</v>
      </c>
      <c r="H11" s="294">
        <v>0</v>
      </c>
      <c r="I11" s="294">
        <v>0</v>
      </c>
      <c r="J11" s="130">
        <v>0</v>
      </c>
      <c r="K11" s="131">
        <v>0</v>
      </c>
      <c r="L11" s="294">
        <v>0</v>
      </c>
      <c r="M11" s="130">
        <v>0</v>
      </c>
      <c r="N11" s="131">
        <v>0</v>
      </c>
      <c r="O11" s="294">
        <v>0</v>
      </c>
      <c r="P11" s="294">
        <v>0</v>
      </c>
      <c r="Q11" s="130">
        <v>0</v>
      </c>
      <c r="R11" s="131">
        <v>0</v>
      </c>
      <c r="S11" s="294">
        <v>0</v>
      </c>
      <c r="T11" s="135">
        <v>0</v>
      </c>
    </row>
    <row r="12" spans="1:20" outlineLevel="2" x14ac:dyDescent="0.25">
      <c r="A12" s="819"/>
      <c r="B12" s="820"/>
      <c r="C12" s="820"/>
      <c r="D12" s="68" t="s">
        <v>32</v>
      </c>
      <c r="E12" s="65">
        <f t="shared" si="2"/>
        <v>0</v>
      </c>
      <c r="F12" s="130">
        <v>0</v>
      </c>
      <c r="G12" s="131">
        <v>0</v>
      </c>
      <c r="H12" s="294">
        <v>0</v>
      </c>
      <c r="I12" s="294">
        <v>0</v>
      </c>
      <c r="J12" s="130">
        <v>0</v>
      </c>
      <c r="K12" s="131">
        <v>0</v>
      </c>
      <c r="L12" s="294">
        <v>0</v>
      </c>
      <c r="M12" s="130">
        <v>0</v>
      </c>
      <c r="N12" s="131">
        <v>0</v>
      </c>
      <c r="O12" s="294">
        <v>0</v>
      </c>
      <c r="P12" s="294">
        <v>0</v>
      </c>
      <c r="Q12" s="130">
        <v>0</v>
      </c>
      <c r="R12" s="131">
        <v>0</v>
      </c>
      <c r="S12" s="294">
        <v>0</v>
      </c>
      <c r="T12" s="135">
        <v>0</v>
      </c>
    </row>
    <row r="13" spans="1:20" outlineLevel="2" x14ac:dyDescent="0.25">
      <c r="A13" s="819"/>
      <c r="B13" s="820"/>
      <c r="C13" s="820"/>
      <c r="D13" s="68" t="s">
        <v>33</v>
      </c>
      <c r="E13" s="65">
        <f t="shared" si="2"/>
        <v>0</v>
      </c>
      <c r="F13" s="130">
        <v>0</v>
      </c>
      <c r="G13" s="131">
        <v>0</v>
      </c>
      <c r="H13" s="294">
        <v>0</v>
      </c>
      <c r="I13" s="294">
        <v>0</v>
      </c>
      <c r="J13" s="130">
        <v>0</v>
      </c>
      <c r="K13" s="131">
        <v>0</v>
      </c>
      <c r="L13" s="294">
        <v>0</v>
      </c>
      <c r="M13" s="130">
        <v>0</v>
      </c>
      <c r="N13" s="131">
        <v>0</v>
      </c>
      <c r="O13" s="294">
        <v>0</v>
      </c>
      <c r="P13" s="294">
        <v>0</v>
      </c>
      <c r="Q13" s="130">
        <v>0</v>
      </c>
      <c r="R13" s="131">
        <v>0</v>
      </c>
      <c r="S13" s="294">
        <v>0</v>
      </c>
      <c r="T13" s="135">
        <v>0</v>
      </c>
    </row>
    <row r="14" spans="1:20" ht="15.75" outlineLevel="2" thickBot="1" x14ac:dyDescent="0.3">
      <c r="A14" s="819"/>
      <c r="B14" s="820"/>
      <c r="C14" s="820"/>
      <c r="D14" s="69" t="s">
        <v>34</v>
      </c>
      <c r="E14" s="65">
        <f t="shared" si="2"/>
        <v>0</v>
      </c>
      <c r="F14" s="132">
        <v>0</v>
      </c>
      <c r="G14" s="133">
        <v>0</v>
      </c>
      <c r="H14" s="295">
        <v>0</v>
      </c>
      <c r="I14" s="295">
        <v>0</v>
      </c>
      <c r="J14" s="132">
        <v>0</v>
      </c>
      <c r="K14" s="133">
        <v>0</v>
      </c>
      <c r="L14" s="295">
        <v>0</v>
      </c>
      <c r="M14" s="132">
        <v>0</v>
      </c>
      <c r="N14" s="133">
        <v>0</v>
      </c>
      <c r="O14" s="295">
        <v>0</v>
      </c>
      <c r="P14" s="295">
        <v>0</v>
      </c>
      <c r="Q14" s="132">
        <v>0</v>
      </c>
      <c r="R14" s="133">
        <v>0</v>
      </c>
      <c r="S14" s="295">
        <v>0</v>
      </c>
      <c r="T14" s="136">
        <v>0</v>
      </c>
    </row>
    <row r="15" spans="1:20" outlineLevel="2" x14ac:dyDescent="0.25">
      <c r="A15" s="819" t="s">
        <v>75</v>
      </c>
      <c r="B15" s="820" t="s">
        <v>81</v>
      </c>
      <c r="C15" s="820">
        <v>633013</v>
      </c>
      <c r="D15" s="67" t="s">
        <v>25</v>
      </c>
      <c r="E15" s="64">
        <f t="shared" si="2"/>
        <v>0</v>
      </c>
      <c r="F15" s="128">
        <v>0</v>
      </c>
      <c r="G15" s="129">
        <v>0</v>
      </c>
      <c r="H15" s="293">
        <v>0</v>
      </c>
      <c r="I15" s="293">
        <v>0</v>
      </c>
      <c r="J15" s="128">
        <v>0</v>
      </c>
      <c r="K15" s="129">
        <v>0</v>
      </c>
      <c r="L15" s="293">
        <v>0</v>
      </c>
      <c r="M15" s="128">
        <v>0</v>
      </c>
      <c r="N15" s="129">
        <v>0</v>
      </c>
      <c r="O15" s="293">
        <v>0</v>
      </c>
      <c r="P15" s="293">
        <v>0</v>
      </c>
      <c r="Q15" s="128">
        <v>0</v>
      </c>
      <c r="R15" s="129">
        <v>0</v>
      </c>
      <c r="S15" s="293">
        <v>0</v>
      </c>
      <c r="T15" s="134">
        <v>0</v>
      </c>
    </row>
    <row r="16" spans="1:20" outlineLevel="2" x14ac:dyDescent="0.25">
      <c r="A16" s="819"/>
      <c r="B16" s="820"/>
      <c r="C16" s="820"/>
      <c r="D16" s="68" t="s">
        <v>26</v>
      </c>
      <c r="E16" s="65">
        <f t="shared" si="2"/>
        <v>0</v>
      </c>
      <c r="F16" s="130">
        <v>0</v>
      </c>
      <c r="G16" s="131">
        <v>0</v>
      </c>
      <c r="H16" s="294">
        <v>0</v>
      </c>
      <c r="I16" s="294">
        <v>0</v>
      </c>
      <c r="J16" s="130">
        <v>0</v>
      </c>
      <c r="K16" s="131">
        <v>0</v>
      </c>
      <c r="L16" s="294">
        <v>0</v>
      </c>
      <c r="M16" s="130">
        <v>0</v>
      </c>
      <c r="N16" s="131">
        <v>0</v>
      </c>
      <c r="O16" s="294">
        <v>0</v>
      </c>
      <c r="P16" s="294">
        <v>0</v>
      </c>
      <c r="Q16" s="130">
        <v>0</v>
      </c>
      <c r="R16" s="131">
        <v>0</v>
      </c>
      <c r="S16" s="294">
        <v>0</v>
      </c>
      <c r="T16" s="135">
        <v>0</v>
      </c>
    </row>
    <row r="17" spans="1:20" outlineLevel="2" x14ac:dyDescent="0.25">
      <c r="A17" s="819"/>
      <c r="B17" s="820"/>
      <c r="C17" s="820"/>
      <c r="D17" s="68" t="s">
        <v>27</v>
      </c>
      <c r="E17" s="65">
        <f t="shared" si="2"/>
        <v>0</v>
      </c>
      <c r="F17" s="130">
        <v>0</v>
      </c>
      <c r="G17" s="131">
        <v>0</v>
      </c>
      <c r="H17" s="294">
        <v>0</v>
      </c>
      <c r="I17" s="294">
        <v>0</v>
      </c>
      <c r="J17" s="130">
        <v>0</v>
      </c>
      <c r="K17" s="131">
        <v>0</v>
      </c>
      <c r="L17" s="294">
        <v>0</v>
      </c>
      <c r="M17" s="130">
        <v>0</v>
      </c>
      <c r="N17" s="131">
        <v>0</v>
      </c>
      <c r="O17" s="294">
        <v>0</v>
      </c>
      <c r="P17" s="294">
        <v>0</v>
      </c>
      <c r="Q17" s="130">
        <v>0</v>
      </c>
      <c r="R17" s="131">
        <v>0</v>
      </c>
      <c r="S17" s="294">
        <v>0</v>
      </c>
      <c r="T17" s="135">
        <v>0</v>
      </c>
    </row>
    <row r="18" spans="1:20" outlineLevel="2" x14ac:dyDescent="0.25">
      <c r="A18" s="819"/>
      <c r="B18" s="820"/>
      <c r="C18" s="820"/>
      <c r="D18" s="68" t="s">
        <v>28</v>
      </c>
      <c r="E18" s="65">
        <f t="shared" si="2"/>
        <v>0</v>
      </c>
      <c r="F18" s="130">
        <v>0</v>
      </c>
      <c r="G18" s="131">
        <v>0</v>
      </c>
      <c r="H18" s="294">
        <v>0</v>
      </c>
      <c r="I18" s="294">
        <v>0</v>
      </c>
      <c r="J18" s="130">
        <v>0</v>
      </c>
      <c r="K18" s="131">
        <v>0</v>
      </c>
      <c r="L18" s="294">
        <v>0</v>
      </c>
      <c r="M18" s="130">
        <v>0</v>
      </c>
      <c r="N18" s="131">
        <v>0</v>
      </c>
      <c r="O18" s="294">
        <v>0</v>
      </c>
      <c r="P18" s="294">
        <v>0</v>
      </c>
      <c r="Q18" s="130">
        <v>0</v>
      </c>
      <c r="R18" s="131">
        <v>0</v>
      </c>
      <c r="S18" s="294">
        <v>0</v>
      </c>
      <c r="T18" s="135">
        <v>0</v>
      </c>
    </row>
    <row r="19" spans="1:20" outlineLevel="2" x14ac:dyDescent="0.25">
      <c r="A19" s="819"/>
      <c r="B19" s="820"/>
      <c r="C19" s="820"/>
      <c r="D19" s="68" t="s">
        <v>29</v>
      </c>
      <c r="E19" s="65">
        <f t="shared" si="2"/>
        <v>0</v>
      </c>
      <c r="F19" s="130">
        <v>0</v>
      </c>
      <c r="G19" s="131">
        <v>0</v>
      </c>
      <c r="H19" s="294">
        <v>0</v>
      </c>
      <c r="I19" s="294">
        <v>0</v>
      </c>
      <c r="J19" s="130">
        <v>0</v>
      </c>
      <c r="K19" s="131">
        <v>0</v>
      </c>
      <c r="L19" s="294">
        <v>0</v>
      </c>
      <c r="M19" s="130">
        <v>0</v>
      </c>
      <c r="N19" s="131">
        <v>0</v>
      </c>
      <c r="O19" s="294">
        <v>0</v>
      </c>
      <c r="P19" s="294">
        <v>0</v>
      </c>
      <c r="Q19" s="130">
        <v>0</v>
      </c>
      <c r="R19" s="131">
        <v>0</v>
      </c>
      <c r="S19" s="294">
        <v>0</v>
      </c>
      <c r="T19" s="135">
        <v>0</v>
      </c>
    </row>
    <row r="20" spans="1:20" outlineLevel="2" x14ac:dyDescent="0.25">
      <c r="A20" s="819"/>
      <c r="B20" s="820"/>
      <c r="C20" s="820"/>
      <c r="D20" s="68" t="s">
        <v>30</v>
      </c>
      <c r="E20" s="65">
        <f t="shared" si="2"/>
        <v>0</v>
      </c>
      <c r="F20" s="130">
        <v>0</v>
      </c>
      <c r="G20" s="131">
        <v>0</v>
      </c>
      <c r="H20" s="294">
        <v>0</v>
      </c>
      <c r="I20" s="294">
        <v>0</v>
      </c>
      <c r="J20" s="130">
        <v>0</v>
      </c>
      <c r="K20" s="131">
        <v>0</v>
      </c>
      <c r="L20" s="294">
        <v>0</v>
      </c>
      <c r="M20" s="130">
        <v>0</v>
      </c>
      <c r="N20" s="131">
        <v>0</v>
      </c>
      <c r="O20" s="294">
        <v>0</v>
      </c>
      <c r="P20" s="294">
        <v>0</v>
      </c>
      <c r="Q20" s="130">
        <v>0</v>
      </c>
      <c r="R20" s="131">
        <v>0</v>
      </c>
      <c r="S20" s="294">
        <v>0</v>
      </c>
      <c r="T20" s="135">
        <v>0</v>
      </c>
    </row>
    <row r="21" spans="1:20" outlineLevel="2" x14ac:dyDescent="0.25">
      <c r="A21" s="819"/>
      <c r="B21" s="820"/>
      <c r="C21" s="820"/>
      <c r="D21" s="68" t="s">
        <v>31</v>
      </c>
      <c r="E21" s="65">
        <f t="shared" si="2"/>
        <v>0</v>
      </c>
      <c r="F21" s="130">
        <v>0</v>
      </c>
      <c r="G21" s="131">
        <v>0</v>
      </c>
      <c r="H21" s="294">
        <v>0</v>
      </c>
      <c r="I21" s="294">
        <v>0</v>
      </c>
      <c r="J21" s="130">
        <v>0</v>
      </c>
      <c r="K21" s="131">
        <v>0</v>
      </c>
      <c r="L21" s="294">
        <v>0</v>
      </c>
      <c r="M21" s="130">
        <v>0</v>
      </c>
      <c r="N21" s="131">
        <v>0</v>
      </c>
      <c r="O21" s="294">
        <v>0</v>
      </c>
      <c r="P21" s="294">
        <v>0</v>
      </c>
      <c r="Q21" s="130">
        <v>0</v>
      </c>
      <c r="R21" s="131">
        <v>0</v>
      </c>
      <c r="S21" s="294">
        <v>0</v>
      </c>
      <c r="T21" s="135">
        <v>0</v>
      </c>
    </row>
    <row r="22" spans="1:20" outlineLevel="2" x14ac:dyDescent="0.25">
      <c r="A22" s="819"/>
      <c r="B22" s="820"/>
      <c r="C22" s="820"/>
      <c r="D22" s="68" t="s">
        <v>32</v>
      </c>
      <c r="E22" s="65">
        <f t="shared" si="2"/>
        <v>0</v>
      </c>
      <c r="F22" s="130">
        <v>0</v>
      </c>
      <c r="G22" s="131">
        <v>0</v>
      </c>
      <c r="H22" s="294">
        <v>0</v>
      </c>
      <c r="I22" s="294">
        <v>0</v>
      </c>
      <c r="J22" s="130">
        <v>0</v>
      </c>
      <c r="K22" s="131">
        <v>0</v>
      </c>
      <c r="L22" s="294">
        <v>0</v>
      </c>
      <c r="M22" s="130">
        <v>0</v>
      </c>
      <c r="N22" s="131">
        <v>0</v>
      </c>
      <c r="O22" s="294">
        <v>0</v>
      </c>
      <c r="P22" s="294">
        <v>0</v>
      </c>
      <c r="Q22" s="130">
        <v>0</v>
      </c>
      <c r="R22" s="131">
        <v>0</v>
      </c>
      <c r="S22" s="294">
        <v>0</v>
      </c>
      <c r="T22" s="135">
        <v>0</v>
      </c>
    </row>
    <row r="23" spans="1:20" outlineLevel="2" x14ac:dyDescent="0.25">
      <c r="A23" s="819"/>
      <c r="B23" s="820"/>
      <c r="C23" s="820"/>
      <c r="D23" s="68" t="s">
        <v>33</v>
      </c>
      <c r="E23" s="65">
        <f t="shared" si="2"/>
        <v>0</v>
      </c>
      <c r="F23" s="130">
        <v>0</v>
      </c>
      <c r="G23" s="131">
        <v>0</v>
      </c>
      <c r="H23" s="294">
        <v>0</v>
      </c>
      <c r="I23" s="294">
        <v>0</v>
      </c>
      <c r="J23" s="130">
        <v>0</v>
      </c>
      <c r="K23" s="131">
        <v>0</v>
      </c>
      <c r="L23" s="294">
        <v>0</v>
      </c>
      <c r="M23" s="130">
        <v>0</v>
      </c>
      <c r="N23" s="131">
        <v>0</v>
      </c>
      <c r="O23" s="294">
        <v>0</v>
      </c>
      <c r="P23" s="294">
        <v>0</v>
      </c>
      <c r="Q23" s="130">
        <v>0</v>
      </c>
      <c r="R23" s="131">
        <v>0</v>
      </c>
      <c r="S23" s="294">
        <v>0</v>
      </c>
      <c r="T23" s="135">
        <v>0</v>
      </c>
    </row>
    <row r="24" spans="1:20" ht="15.75" outlineLevel="2" thickBot="1" x14ac:dyDescent="0.3">
      <c r="A24" s="819"/>
      <c r="B24" s="820"/>
      <c r="C24" s="820"/>
      <c r="D24" s="69" t="s">
        <v>34</v>
      </c>
      <c r="E24" s="66">
        <f t="shared" si="2"/>
        <v>0</v>
      </c>
      <c r="F24" s="132">
        <v>0</v>
      </c>
      <c r="G24" s="133">
        <v>0</v>
      </c>
      <c r="H24" s="295">
        <v>0</v>
      </c>
      <c r="I24" s="295">
        <v>0</v>
      </c>
      <c r="J24" s="132">
        <v>0</v>
      </c>
      <c r="K24" s="133">
        <v>0</v>
      </c>
      <c r="L24" s="295">
        <v>0</v>
      </c>
      <c r="M24" s="132">
        <v>0</v>
      </c>
      <c r="N24" s="133">
        <v>0</v>
      </c>
      <c r="O24" s="295">
        <v>0</v>
      </c>
      <c r="P24" s="295">
        <v>0</v>
      </c>
      <c r="Q24" s="132">
        <v>0</v>
      </c>
      <c r="R24" s="133">
        <v>0</v>
      </c>
      <c r="S24" s="295">
        <v>0</v>
      </c>
      <c r="T24" s="136">
        <v>0</v>
      </c>
    </row>
    <row r="25" spans="1:20" ht="15.75" outlineLevel="1" thickBot="1" x14ac:dyDescent="0.3">
      <c r="A25" s="17" t="s">
        <v>110</v>
      </c>
      <c r="B25" s="17"/>
      <c r="C25" s="17"/>
      <c r="D25" s="28"/>
      <c r="E25" s="142">
        <f t="shared" ref="E25:T25" si="3">SUM(E26:E55)</f>
        <v>13054054</v>
      </c>
      <c r="F25" s="143">
        <f t="shared" si="3"/>
        <v>322694.40000000002</v>
      </c>
      <c r="G25" s="143">
        <f t="shared" si="3"/>
        <v>457514.4</v>
      </c>
      <c r="H25" s="296">
        <f t="shared" si="3"/>
        <v>3012038.4</v>
      </c>
      <c r="I25" s="296">
        <f t="shared" si="3"/>
        <v>1901298.4</v>
      </c>
      <c r="J25" s="143">
        <f t="shared" si="3"/>
        <v>654830.4</v>
      </c>
      <c r="K25" s="143">
        <f t="shared" si="3"/>
        <v>542438.40000000002</v>
      </c>
      <c r="L25" s="296">
        <f t="shared" si="3"/>
        <v>459782.40000000002</v>
      </c>
      <c r="M25" s="143">
        <f t="shared" si="3"/>
        <v>763946.4</v>
      </c>
      <c r="N25" s="143">
        <f t="shared" si="3"/>
        <v>835514.4</v>
      </c>
      <c r="O25" s="296">
        <f t="shared" si="3"/>
        <v>1784042.4</v>
      </c>
      <c r="P25" s="296">
        <f t="shared" si="3"/>
        <v>443780.4</v>
      </c>
      <c r="Q25" s="143">
        <f t="shared" si="3"/>
        <v>465578.4</v>
      </c>
      <c r="R25" s="143">
        <f t="shared" si="3"/>
        <v>186866.4</v>
      </c>
      <c r="S25" s="296">
        <f t="shared" si="3"/>
        <v>842570.4</v>
      </c>
      <c r="T25" s="144">
        <f t="shared" si="3"/>
        <v>381158.40000000002</v>
      </c>
    </row>
    <row r="26" spans="1:20" outlineLevel="2" x14ac:dyDescent="0.25">
      <c r="A26" s="819" t="s">
        <v>79</v>
      </c>
      <c r="B26" s="820" t="s">
        <v>76</v>
      </c>
      <c r="C26" s="820">
        <v>711003</v>
      </c>
      <c r="D26" s="67" t="s">
        <v>25</v>
      </c>
      <c r="E26" s="71">
        <f t="shared" ref="E26:E55" si="4">SUM(F26:T26)</f>
        <v>3684895.2</v>
      </c>
      <c r="F26" s="673">
        <f>0.85*SUM('Rozpočet - vývoj Aplikácií'!$AM$5:$AM$8)</f>
        <v>215913.60000000001</v>
      </c>
      <c r="G26" s="673">
        <f>0.65*SUM('Rozpočet - vývoj Aplikácií'!$AM$11:$AM$14)</f>
        <v>252743.4</v>
      </c>
      <c r="H26" s="119">
        <f>0.4*SUM('Rozpočet - vývoj Aplikácií'!$AM$17:$AM$20)</f>
        <v>1177344</v>
      </c>
      <c r="I26" s="119">
        <f>0.55*SUM('Rozpočet - vývoj Aplikácií'!$AM$23:$AM$26)</f>
        <v>961191.00000000012</v>
      </c>
      <c r="J26" s="119">
        <f>0.3*SUM('Rozpočet - vývoj Aplikácií'!$AM$29:$AM$32)</f>
        <v>175845.6</v>
      </c>
      <c r="K26" s="119">
        <f>0.4*SUM('Rozpočet - vývoj Aplikácií'!$AM$35:$AM$38)</f>
        <v>189504</v>
      </c>
      <c r="L26" s="119">
        <f>0.3*SUM('Rozpočet - vývoj Aplikácií'!$AM$41:$AM$44)</f>
        <v>117331.2</v>
      </c>
      <c r="M26" s="119">
        <f>0.1*SUM('Rozpočet - vývoj Aplikácií'!$AM$47:$AM$50)</f>
        <v>69526.8</v>
      </c>
      <c r="N26" s="119">
        <f>0.15*SUM('Rozpočet - vývoj Aplikácií'!$AM$53:$AM$57)</f>
        <v>115025.4</v>
      </c>
      <c r="O26" s="119">
        <f>0.05*SUM('Rozpočet - vývoj Aplikácií'!$AM$59:$AM$62)</f>
        <v>85768.200000000012</v>
      </c>
      <c r="P26" s="119">
        <f>0*SUM('Rozpočet - vývoj Aplikácií'!$AM$65:$AM$68)</f>
        <v>0</v>
      </c>
      <c r="Q26" s="119">
        <f>0.7*SUM('Rozpočet - vývoj Aplikácií'!$AM$71:$AM$74)</f>
        <v>277830</v>
      </c>
      <c r="R26" s="119">
        <f>0*SUM('Rozpočet - vývoj Aplikácií'!$AM$77:$AM$80)</f>
        <v>0</v>
      </c>
      <c r="S26" s="119">
        <f>0*SUM('Rozpočet - vývoj Aplikácií'!$AM$83:$AM$86)</f>
        <v>0</v>
      </c>
      <c r="T26" s="119">
        <f>0.15*'Rozpočet - vývoj Aplikácií'!$AM$89</f>
        <v>46872</v>
      </c>
    </row>
    <row r="27" spans="1:20" outlineLevel="2" x14ac:dyDescent="0.25">
      <c r="A27" s="819"/>
      <c r="B27" s="820"/>
      <c r="C27" s="820"/>
      <c r="D27" s="68" t="s">
        <v>26</v>
      </c>
      <c r="E27" s="72">
        <f t="shared" si="4"/>
        <v>7265292.3000000007</v>
      </c>
      <c r="F27" s="675">
        <f>0.15*SUM('Rozpočet - vývoj Aplikácií'!$AM$5:$AM$8)</f>
        <v>38102.400000000001</v>
      </c>
      <c r="G27" s="675">
        <f>0.35*SUM('Rozpočet - vývoj Aplikácií'!$AM$11:$AM$14)</f>
        <v>136092.6</v>
      </c>
      <c r="H27" s="672">
        <f>0.6*SUM('Rozpočet - vývoj Aplikácií'!$AM$17:$AM$20)</f>
        <v>1766016</v>
      </c>
      <c r="I27" s="298">
        <f>0.45*SUM('Rozpočet - vývoj Aplikácií'!$AM$23:$AM$26)</f>
        <v>786429</v>
      </c>
      <c r="J27" s="298">
        <f>0.6*SUM('Rozpočet - vývoj Aplikácií'!$AM$29:$AM$32)</f>
        <v>351691.2</v>
      </c>
      <c r="K27" s="123">
        <f>0.6*SUM('Rozpočet - vývoj Aplikácií'!$AM$35:$AM$38)</f>
        <v>284256</v>
      </c>
      <c r="L27" s="298">
        <f>0.7*SUM('Rozpočet - vývoj Aplikácií'!$AM$41:$AM$44)</f>
        <v>273772.79999999999</v>
      </c>
      <c r="M27" s="122">
        <f>0.75*SUM('Rozpočet - vývoj Aplikácií'!$AM$47:$AM$50)</f>
        <v>521451</v>
      </c>
      <c r="N27" s="123">
        <f>0.7*SUM('Rozpočet - vývoj Aplikácií'!$AM$53:$AM$56)</f>
        <v>536785.19999999995</v>
      </c>
      <c r="O27" s="298">
        <f>0.65*SUM('Rozpočet - vývoj Aplikácií'!$AM$59:$AM$62)</f>
        <v>1114986.6000000001</v>
      </c>
      <c r="P27" s="298">
        <f>0.85*SUM('Rozpočet - vývoj Aplikácií'!$AM$65:$AM$68)</f>
        <v>318836.7</v>
      </c>
      <c r="Q27" s="122">
        <f>0.3*SUM('Rozpočet - vývoj Aplikácií'!$AM$71:$AM$74)</f>
        <v>119070</v>
      </c>
      <c r="R27" s="123">
        <f>SUM('Rozpočet - vývoj Aplikácií'!$AM$77:$AM$80)</f>
        <v>118188</v>
      </c>
      <c r="S27" s="298">
        <f>0.9*SUM('Rozpočet - vývoj Aplikácií'!$AM$83:$AM$86)</f>
        <v>696502.8</v>
      </c>
      <c r="T27" s="124">
        <f>0.65*'Rozpočet - vývoj Aplikácií'!$AM$89</f>
        <v>203112</v>
      </c>
    </row>
    <row r="28" spans="1:20" outlineLevel="2" x14ac:dyDescent="0.25">
      <c r="A28" s="819"/>
      <c r="B28" s="820"/>
      <c r="C28" s="820"/>
      <c r="D28" s="68" t="s">
        <v>27</v>
      </c>
      <c r="E28" s="72">
        <f t="shared" si="4"/>
        <v>988690.5</v>
      </c>
      <c r="F28" s="674">
        <f>0*SUM('Rozpočet - vývoj Aplikácií'!$AM$5:$AM$8)</f>
        <v>0</v>
      </c>
      <c r="G28" s="674">
        <f>0*SUM('Rozpočet - vývoj Aplikácií'!$AM$11:$AM$14)</f>
        <v>0</v>
      </c>
      <c r="H28" s="298">
        <f>0*SUM('Rozpočet - vývoj Aplikácií'!$AM$17:$AM$20)</f>
        <v>0</v>
      </c>
      <c r="I28" s="298">
        <f>0*SUM('Rozpočet - vývoj Aplikácií'!$AM$23:$AM$26)</f>
        <v>0</v>
      </c>
      <c r="J28" s="122">
        <f>0.1*SUM('Rozpočet - vývoj Aplikácií'!$AM$29:$AM$32)</f>
        <v>58615.200000000004</v>
      </c>
      <c r="K28" s="123">
        <f>0*SUM('Rozpočet - vývoj Aplikácií'!$AM$35:$AM$38)</f>
        <v>0</v>
      </c>
      <c r="L28" s="298">
        <f>0*SUM('Rozpočet - vývoj Aplikácií'!$AM$41:$AM$44)</f>
        <v>0</v>
      </c>
      <c r="M28" s="122">
        <f>0.15*SUM('Rozpočet - vývoj Aplikácií'!$AM$47:$AM$50)</f>
        <v>104290.2</v>
      </c>
      <c r="N28" s="123">
        <f>0.15*SUM('Rozpočet - vývoj Aplikácií'!$AM$53:$AM$57)</f>
        <v>115025.4</v>
      </c>
      <c r="O28" s="298">
        <f>0.3*SUM('Rozpočet - vývoj Aplikácií'!$AM$59:$AM$62)</f>
        <v>514609.19999999995</v>
      </c>
      <c r="P28" s="298">
        <f>0.15*SUM('Rozpočet - vývoj Aplikácií'!$AM$65:$AM$68)</f>
        <v>56265.299999999996</v>
      </c>
      <c r="Q28" s="122">
        <f>0*SUM('Rozpočet - vývoj Aplikácií'!$AM$71:$AM$74)</f>
        <v>0</v>
      </c>
      <c r="R28" s="123">
        <f>0*SUM('Rozpočet - vývoj Aplikácií'!$AM$77:$AM$80)</f>
        <v>0</v>
      </c>
      <c r="S28" s="298">
        <f>0.1*SUM('Rozpočet - vývoj Aplikácií'!$AM$83:$AM$86)</f>
        <v>77389.2</v>
      </c>
      <c r="T28" s="124">
        <f>0.2*'Rozpočet - vývoj Aplikácií'!$AM$89</f>
        <v>62496</v>
      </c>
    </row>
    <row r="29" spans="1:20" outlineLevel="2" x14ac:dyDescent="0.25">
      <c r="A29" s="819"/>
      <c r="B29" s="820"/>
      <c r="C29" s="820"/>
      <c r="D29" s="68" t="s">
        <v>28</v>
      </c>
      <c r="E29" s="72">
        <f t="shared" si="4"/>
        <v>0</v>
      </c>
      <c r="F29" s="122">
        <v>0</v>
      </c>
      <c r="G29" s="123">
        <v>0</v>
      </c>
      <c r="H29" s="298">
        <v>0</v>
      </c>
      <c r="I29" s="298">
        <v>0</v>
      </c>
      <c r="J29" s="122">
        <v>0</v>
      </c>
      <c r="K29" s="123">
        <v>0</v>
      </c>
      <c r="L29" s="298">
        <v>0</v>
      </c>
      <c r="M29" s="122">
        <v>0</v>
      </c>
      <c r="N29" s="123">
        <v>0</v>
      </c>
      <c r="O29" s="298">
        <v>0</v>
      </c>
      <c r="P29" s="298">
        <v>0</v>
      </c>
      <c r="Q29" s="122">
        <v>0</v>
      </c>
      <c r="R29" s="123">
        <v>0</v>
      </c>
      <c r="S29" s="298">
        <v>0</v>
      </c>
      <c r="T29" s="124">
        <v>0</v>
      </c>
    </row>
    <row r="30" spans="1:20" outlineLevel="2" x14ac:dyDescent="0.25">
      <c r="A30" s="819"/>
      <c r="B30" s="820"/>
      <c r="C30" s="820"/>
      <c r="D30" s="68" t="s">
        <v>29</v>
      </c>
      <c r="E30" s="72">
        <f t="shared" si="4"/>
        <v>0</v>
      </c>
      <c r="F30" s="122">
        <v>0</v>
      </c>
      <c r="G30" s="123">
        <v>0</v>
      </c>
      <c r="H30" s="298">
        <v>0</v>
      </c>
      <c r="I30" s="298">
        <v>0</v>
      </c>
      <c r="J30" s="122">
        <v>0</v>
      </c>
      <c r="K30" s="123">
        <v>0</v>
      </c>
      <c r="L30" s="298">
        <v>0</v>
      </c>
      <c r="M30" s="122">
        <v>0</v>
      </c>
      <c r="N30" s="123">
        <v>0</v>
      </c>
      <c r="O30" s="298">
        <v>0</v>
      </c>
      <c r="P30" s="298">
        <v>0</v>
      </c>
      <c r="Q30" s="122">
        <v>0</v>
      </c>
      <c r="R30" s="123">
        <v>0</v>
      </c>
      <c r="S30" s="298">
        <v>0</v>
      </c>
      <c r="T30" s="124">
        <v>0</v>
      </c>
    </row>
    <row r="31" spans="1:20" outlineLevel="2" x14ac:dyDescent="0.25">
      <c r="A31" s="819"/>
      <c r="B31" s="820"/>
      <c r="C31" s="820"/>
      <c r="D31" s="68" t="s">
        <v>30</v>
      </c>
      <c r="E31" s="72">
        <f t="shared" si="4"/>
        <v>0</v>
      </c>
      <c r="F31" s="122">
        <v>0</v>
      </c>
      <c r="G31" s="123">
        <v>0</v>
      </c>
      <c r="H31" s="298">
        <v>0</v>
      </c>
      <c r="I31" s="298">
        <v>0</v>
      </c>
      <c r="J31" s="122">
        <v>0</v>
      </c>
      <c r="K31" s="123">
        <v>0</v>
      </c>
      <c r="L31" s="298">
        <v>0</v>
      </c>
      <c r="M31" s="122">
        <v>0</v>
      </c>
      <c r="N31" s="123">
        <v>0</v>
      </c>
      <c r="O31" s="298">
        <v>0</v>
      </c>
      <c r="P31" s="298">
        <v>0</v>
      </c>
      <c r="Q31" s="122">
        <v>0</v>
      </c>
      <c r="R31" s="123">
        <v>0</v>
      </c>
      <c r="S31" s="298">
        <v>0</v>
      </c>
      <c r="T31" s="124">
        <v>0</v>
      </c>
    </row>
    <row r="32" spans="1:20" outlineLevel="2" x14ac:dyDescent="0.25">
      <c r="A32" s="819"/>
      <c r="B32" s="820"/>
      <c r="C32" s="820"/>
      <c r="D32" s="68" t="s">
        <v>31</v>
      </c>
      <c r="E32" s="72">
        <f t="shared" si="4"/>
        <v>0</v>
      </c>
      <c r="F32" s="122">
        <v>0</v>
      </c>
      <c r="G32" s="123">
        <v>0</v>
      </c>
      <c r="H32" s="298">
        <v>0</v>
      </c>
      <c r="I32" s="298">
        <v>0</v>
      </c>
      <c r="J32" s="122">
        <v>0</v>
      </c>
      <c r="K32" s="123">
        <v>0</v>
      </c>
      <c r="L32" s="298">
        <v>0</v>
      </c>
      <c r="M32" s="122">
        <v>0</v>
      </c>
      <c r="N32" s="123">
        <v>0</v>
      </c>
      <c r="O32" s="298">
        <v>0</v>
      </c>
      <c r="P32" s="298">
        <v>0</v>
      </c>
      <c r="Q32" s="122">
        <v>0</v>
      </c>
      <c r="R32" s="123">
        <v>0</v>
      </c>
      <c r="S32" s="298">
        <v>0</v>
      </c>
      <c r="T32" s="124">
        <v>0</v>
      </c>
    </row>
    <row r="33" spans="1:20" outlineLevel="2" x14ac:dyDescent="0.25">
      <c r="A33" s="819"/>
      <c r="B33" s="820"/>
      <c r="C33" s="820"/>
      <c r="D33" s="68" t="s">
        <v>32</v>
      </c>
      <c r="E33" s="72">
        <f t="shared" si="4"/>
        <v>0</v>
      </c>
      <c r="F33" s="122">
        <v>0</v>
      </c>
      <c r="G33" s="123">
        <v>0</v>
      </c>
      <c r="H33" s="298">
        <v>0</v>
      </c>
      <c r="I33" s="298">
        <v>0</v>
      </c>
      <c r="J33" s="122">
        <v>0</v>
      </c>
      <c r="K33" s="123">
        <v>0</v>
      </c>
      <c r="L33" s="298">
        <v>0</v>
      </c>
      <c r="M33" s="122">
        <v>0</v>
      </c>
      <c r="N33" s="123">
        <v>0</v>
      </c>
      <c r="O33" s="298">
        <v>0</v>
      </c>
      <c r="P33" s="298">
        <v>0</v>
      </c>
      <c r="Q33" s="122">
        <v>0</v>
      </c>
      <c r="R33" s="123">
        <v>0</v>
      </c>
      <c r="S33" s="298">
        <v>0</v>
      </c>
      <c r="T33" s="124">
        <v>0</v>
      </c>
    </row>
    <row r="34" spans="1:20" outlineLevel="2" x14ac:dyDescent="0.25">
      <c r="A34" s="819"/>
      <c r="B34" s="820"/>
      <c r="C34" s="820"/>
      <c r="D34" s="68" t="s">
        <v>33</v>
      </c>
      <c r="E34" s="72">
        <f t="shared" si="4"/>
        <v>0</v>
      </c>
      <c r="F34" s="122">
        <v>0</v>
      </c>
      <c r="G34" s="123">
        <v>0</v>
      </c>
      <c r="H34" s="298">
        <v>0</v>
      </c>
      <c r="I34" s="298">
        <v>0</v>
      </c>
      <c r="J34" s="122">
        <v>0</v>
      </c>
      <c r="K34" s="123">
        <v>0</v>
      </c>
      <c r="L34" s="298">
        <v>0</v>
      </c>
      <c r="M34" s="122">
        <v>0</v>
      </c>
      <c r="N34" s="123">
        <v>0</v>
      </c>
      <c r="O34" s="298">
        <v>0</v>
      </c>
      <c r="P34" s="298">
        <v>0</v>
      </c>
      <c r="Q34" s="122">
        <v>0</v>
      </c>
      <c r="R34" s="123">
        <v>0</v>
      </c>
      <c r="S34" s="298">
        <v>0</v>
      </c>
      <c r="T34" s="124">
        <v>0</v>
      </c>
    </row>
    <row r="35" spans="1:20" ht="15.75" outlineLevel="2" thickBot="1" x14ac:dyDescent="0.3">
      <c r="A35" s="819"/>
      <c r="B35" s="820"/>
      <c r="C35" s="820"/>
      <c r="D35" s="69" t="s">
        <v>34</v>
      </c>
      <c r="E35" s="73">
        <f t="shared" si="4"/>
        <v>0</v>
      </c>
      <c r="F35" s="125">
        <v>0</v>
      </c>
      <c r="G35" s="126">
        <v>0</v>
      </c>
      <c r="H35" s="299">
        <v>0</v>
      </c>
      <c r="I35" s="299">
        <v>0</v>
      </c>
      <c r="J35" s="125">
        <v>0</v>
      </c>
      <c r="K35" s="126">
        <v>0</v>
      </c>
      <c r="L35" s="299">
        <v>0</v>
      </c>
      <c r="M35" s="125">
        <v>0</v>
      </c>
      <c r="N35" s="126">
        <v>0</v>
      </c>
      <c r="O35" s="299">
        <v>0</v>
      </c>
      <c r="P35" s="299">
        <v>0</v>
      </c>
      <c r="Q35" s="125">
        <v>0</v>
      </c>
      <c r="R35" s="126">
        <v>0</v>
      </c>
      <c r="S35" s="299">
        <v>0</v>
      </c>
      <c r="T35" s="127">
        <v>0</v>
      </c>
    </row>
    <row r="36" spans="1:20" outlineLevel="2" x14ac:dyDescent="0.25">
      <c r="A36" s="819" t="s">
        <v>79</v>
      </c>
      <c r="B36" s="820" t="s">
        <v>81</v>
      </c>
      <c r="C36" s="820">
        <v>633013</v>
      </c>
      <c r="D36" s="67" t="s">
        <v>25</v>
      </c>
      <c r="E36" s="72">
        <f t="shared" si="4"/>
        <v>705600</v>
      </c>
      <c r="F36" s="681">
        <f>'Rozpočet - vývoj Aplikácií'!$AM$92/15</f>
        <v>47040</v>
      </c>
      <c r="G36" s="681">
        <f>'Rozpočet - vývoj Aplikácií'!$AM$92/15</f>
        <v>47040</v>
      </c>
      <c r="H36" s="681">
        <f>'Rozpočet - vývoj Aplikácií'!$AM$92/15</f>
        <v>47040</v>
      </c>
      <c r="I36" s="681">
        <f>'Rozpočet - vývoj Aplikácií'!$AM$92/15</f>
        <v>47040</v>
      </c>
      <c r="J36" s="681">
        <f>'Rozpočet - vývoj Aplikácií'!$AM$92/15</f>
        <v>47040</v>
      </c>
      <c r="K36" s="681">
        <f>'Rozpočet - vývoj Aplikácií'!$AM$92/15</f>
        <v>47040</v>
      </c>
      <c r="L36" s="681">
        <f>'Rozpočet - vývoj Aplikácií'!$AM$92/15</f>
        <v>47040</v>
      </c>
      <c r="M36" s="681">
        <f>'Rozpočet - vývoj Aplikácií'!$AM$92/15</f>
        <v>47040</v>
      </c>
      <c r="N36" s="681">
        <f>'Rozpočet - vývoj Aplikácií'!$AM$92/15</f>
        <v>47040</v>
      </c>
      <c r="O36" s="681">
        <f>'Rozpočet - vývoj Aplikácií'!$AM$92/15</f>
        <v>47040</v>
      </c>
      <c r="P36" s="681">
        <f>'Rozpočet - vývoj Aplikácií'!$AM$92/15</f>
        <v>47040</v>
      </c>
      <c r="Q36" s="681">
        <f>'Rozpočet - vývoj Aplikácií'!$AM$92/15</f>
        <v>47040</v>
      </c>
      <c r="R36" s="681">
        <f>'Rozpočet - vývoj Aplikácií'!$AM$92/15</f>
        <v>47040</v>
      </c>
      <c r="S36" s="681">
        <f>'Rozpočet - vývoj Aplikácií'!$AM$92/15</f>
        <v>47040</v>
      </c>
      <c r="T36" s="681">
        <f>'Rozpočet - vývoj Aplikácií'!$AM$92/15</f>
        <v>47040</v>
      </c>
    </row>
    <row r="37" spans="1:20" outlineLevel="2" x14ac:dyDescent="0.25">
      <c r="A37" s="819"/>
      <c r="B37" s="820"/>
      <c r="C37" s="820"/>
      <c r="D37" s="68" t="s">
        <v>26</v>
      </c>
      <c r="E37" s="72">
        <f t="shared" si="4"/>
        <v>324576</v>
      </c>
      <c r="F37" s="122">
        <f>'Rozpočet - vývoj Aplikácií'!$AM$93/15</f>
        <v>21638.400000000001</v>
      </c>
      <c r="G37" s="122">
        <f>'Rozpočet - vývoj Aplikácií'!$AM$93/15</f>
        <v>21638.400000000001</v>
      </c>
      <c r="H37" s="122">
        <f>'Rozpočet - vývoj Aplikácií'!$AM$93/15</f>
        <v>21638.400000000001</v>
      </c>
      <c r="I37" s="122">
        <f>'Rozpočet - vývoj Aplikácií'!$AM$93/15</f>
        <v>21638.400000000001</v>
      </c>
      <c r="J37" s="122">
        <f>'Rozpočet - vývoj Aplikácií'!$AM$93/15</f>
        <v>21638.400000000001</v>
      </c>
      <c r="K37" s="122">
        <f>'Rozpočet - vývoj Aplikácií'!$AM$93/15</f>
        <v>21638.400000000001</v>
      </c>
      <c r="L37" s="122">
        <f>'Rozpočet - vývoj Aplikácií'!$AM$93/15</f>
        <v>21638.400000000001</v>
      </c>
      <c r="M37" s="122">
        <f>'Rozpočet - vývoj Aplikácií'!$AM$93/15</f>
        <v>21638.400000000001</v>
      </c>
      <c r="N37" s="122">
        <f>'Rozpočet - vývoj Aplikácií'!$AM$93/15</f>
        <v>21638.400000000001</v>
      </c>
      <c r="O37" s="122">
        <f>'Rozpočet - vývoj Aplikácií'!$AM$93/15</f>
        <v>21638.400000000001</v>
      </c>
      <c r="P37" s="122">
        <f>'Rozpočet - vývoj Aplikácií'!$AM$93/15</f>
        <v>21638.400000000001</v>
      </c>
      <c r="Q37" s="122">
        <f>'Rozpočet - vývoj Aplikácií'!$AM$93/15</f>
        <v>21638.400000000001</v>
      </c>
      <c r="R37" s="122">
        <f>'Rozpočet - vývoj Aplikácií'!$AM$93/15</f>
        <v>21638.400000000001</v>
      </c>
      <c r="S37" s="122">
        <f>'Rozpočet - vývoj Aplikácií'!$AM$93/15</f>
        <v>21638.400000000001</v>
      </c>
      <c r="T37" s="122">
        <f>'Rozpočet - vývoj Aplikácií'!$AM$93/15</f>
        <v>21638.400000000001</v>
      </c>
    </row>
    <row r="38" spans="1:20" outlineLevel="2" x14ac:dyDescent="0.25">
      <c r="A38" s="819"/>
      <c r="B38" s="820"/>
      <c r="C38" s="820"/>
      <c r="D38" s="68" t="s">
        <v>27</v>
      </c>
      <c r="E38" s="72">
        <f t="shared" si="4"/>
        <v>0</v>
      </c>
      <c r="F38" s="674">
        <v>0</v>
      </c>
      <c r="G38" s="697">
        <v>0</v>
      </c>
      <c r="H38" s="698">
        <v>0</v>
      </c>
      <c r="I38" s="698">
        <v>0</v>
      </c>
      <c r="J38" s="674">
        <v>0</v>
      </c>
      <c r="K38" s="697">
        <v>0</v>
      </c>
      <c r="L38" s="698">
        <v>0</v>
      </c>
      <c r="M38" s="674">
        <v>0</v>
      </c>
      <c r="N38" s="697">
        <v>0</v>
      </c>
      <c r="O38" s="698">
        <v>0</v>
      </c>
      <c r="P38" s="698">
        <v>0</v>
      </c>
      <c r="Q38" s="674">
        <v>0</v>
      </c>
      <c r="R38" s="697">
        <v>0</v>
      </c>
      <c r="S38" s="698">
        <v>0</v>
      </c>
      <c r="T38" s="699">
        <v>0</v>
      </c>
    </row>
    <row r="39" spans="1:20" outlineLevel="2" x14ac:dyDescent="0.25">
      <c r="A39" s="819"/>
      <c r="B39" s="820"/>
      <c r="C39" s="820"/>
      <c r="D39" s="68" t="s">
        <v>28</v>
      </c>
      <c r="E39" s="72">
        <f t="shared" si="4"/>
        <v>0</v>
      </c>
      <c r="F39" s="122">
        <v>0</v>
      </c>
      <c r="G39" s="123">
        <v>0</v>
      </c>
      <c r="H39" s="298">
        <v>0</v>
      </c>
      <c r="I39" s="298">
        <v>0</v>
      </c>
      <c r="J39" s="122">
        <v>0</v>
      </c>
      <c r="K39" s="123">
        <v>0</v>
      </c>
      <c r="L39" s="298">
        <v>0</v>
      </c>
      <c r="M39" s="122">
        <v>0</v>
      </c>
      <c r="N39" s="123">
        <v>0</v>
      </c>
      <c r="O39" s="298">
        <v>0</v>
      </c>
      <c r="P39" s="298">
        <v>0</v>
      </c>
      <c r="Q39" s="122">
        <v>0</v>
      </c>
      <c r="R39" s="123">
        <v>0</v>
      </c>
      <c r="S39" s="298">
        <v>0</v>
      </c>
      <c r="T39" s="124">
        <v>0</v>
      </c>
    </row>
    <row r="40" spans="1:20" outlineLevel="2" x14ac:dyDescent="0.25">
      <c r="A40" s="819"/>
      <c r="B40" s="820"/>
      <c r="C40" s="820"/>
      <c r="D40" s="68" t="s">
        <v>29</v>
      </c>
      <c r="E40" s="72">
        <f t="shared" si="4"/>
        <v>0</v>
      </c>
      <c r="F40" s="122">
        <v>0</v>
      </c>
      <c r="G40" s="123">
        <v>0</v>
      </c>
      <c r="H40" s="298">
        <v>0</v>
      </c>
      <c r="I40" s="298">
        <v>0</v>
      </c>
      <c r="J40" s="122">
        <v>0</v>
      </c>
      <c r="K40" s="123">
        <v>0</v>
      </c>
      <c r="L40" s="298">
        <v>0</v>
      </c>
      <c r="M40" s="122">
        <v>0</v>
      </c>
      <c r="N40" s="123">
        <v>0</v>
      </c>
      <c r="O40" s="298">
        <v>0</v>
      </c>
      <c r="P40" s="298">
        <v>0</v>
      </c>
      <c r="Q40" s="122">
        <v>0</v>
      </c>
      <c r="R40" s="123">
        <v>0</v>
      </c>
      <c r="S40" s="298">
        <v>0</v>
      </c>
      <c r="T40" s="124">
        <v>0</v>
      </c>
    </row>
    <row r="41" spans="1:20" outlineLevel="2" x14ac:dyDescent="0.25">
      <c r="A41" s="819"/>
      <c r="B41" s="820"/>
      <c r="C41" s="820"/>
      <c r="D41" s="68" t="s">
        <v>30</v>
      </c>
      <c r="E41" s="72">
        <f t="shared" si="4"/>
        <v>0</v>
      </c>
      <c r="F41" s="122">
        <v>0</v>
      </c>
      <c r="G41" s="123">
        <v>0</v>
      </c>
      <c r="H41" s="298">
        <v>0</v>
      </c>
      <c r="I41" s="298">
        <v>0</v>
      </c>
      <c r="J41" s="122">
        <v>0</v>
      </c>
      <c r="K41" s="123">
        <v>0</v>
      </c>
      <c r="L41" s="298">
        <v>0</v>
      </c>
      <c r="M41" s="122">
        <v>0</v>
      </c>
      <c r="N41" s="123">
        <v>0</v>
      </c>
      <c r="O41" s="298">
        <v>0</v>
      </c>
      <c r="P41" s="298">
        <v>0</v>
      </c>
      <c r="Q41" s="122">
        <v>0</v>
      </c>
      <c r="R41" s="123">
        <v>0</v>
      </c>
      <c r="S41" s="298">
        <v>0</v>
      </c>
      <c r="T41" s="124">
        <v>0</v>
      </c>
    </row>
    <row r="42" spans="1:20" outlineLevel="2" x14ac:dyDescent="0.25">
      <c r="A42" s="819"/>
      <c r="B42" s="820"/>
      <c r="C42" s="820"/>
      <c r="D42" s="68" t="s">
        <v>31</v>
      </c>
      <c r="E42" s="72">
        <f t="shared" si="4"/>
        <v>0</v>
      </c>
      <c r="F42" s="122">
        <v>0</v>
      </c>
      <c r="G42" s="123">
        <v>0</v>
      </c>
      <c r="H42" s="298">
        <v>0</v>
      </c>
      <c r="I42" s="298">
        <v>0</v>
      </c>
      <c r="J42" s="122">
        <v>0</v>
      </c>
      <c r="K42" s="123">
        <v>0</v>
      </c>
      <c r="L42" s="298">
        <v>0</v>
      </c>
      <c r="M42" s="122">
        <v>0</v>
      </c>
      <c r="N42" s="123">
        <v>0</v>
      </c>
      <c r="O42" s="298">
        <v>0</v>
      </c>
      <c r="P42" s="298">
        <v>0</v>
      </c>
      <c r="Q42" s="122">
        <v>0</v>
      </c>
      <c r="R42" s="123">
        <v>0</v>
      </c>
      <c r="S42" s="298">
        <v>0</v>
      </c>
      <c r="T42" s="124">
        <v>0</v>
      </c>
    </row>
    <row r="43" spans="1:20" outlineLevel="2" x14ac:dyDescent="0.25">
      <c r="A43" s="819"/>
      <c r="B43" s="820"/>
      <c r="C43" s="820"/>
      <c r="D43" s="68" t="s">
        <v>32</v>
      </c>
      <c r="E43" s="72">
        <f t="shared" si="4"/>
        <v>0</v>
      </c>
      <c r="F43" s="122">
        <v>0</v>
      </c>
      <c r="G43" s="123">
        <v>0</v>
      </c>
      <c r="H43" s="298">
        <v>0</v>
      </c>
      <c r="I43" s="298">
        <v>0</v>
      </c>
      <c r="J43" s="122">
        <v>0</v>
      </c>
      <c r="K43" s="123">
        <v>0</v>
      </c>
      <c r="L43" s="298">
        <v>0</v>
      </c>
      <c r="M43" s="122">
        <v>0</v>
      </c>
      <c r="N43" s="123">
        <v>0</v>
      </c>
      <c r="O43" s="298">
        <v>0</v>
      </c>
      <c r="P43" s="298">
        <v>0</v>
      </c>
      <c r="Q43" s="122">
        <v>0</v>
      </c>
      <c r="R43" s="123">
        <v>0</v>
      </c>
      <c r="S43" s="298">
        <v>0</v>
      </c>
      <c r="T43" s="124">
        <v>0</v>
      </c>
    </row>
    <row r="44" spans="1:20" outlineLevel="2" x14ac:dyDescent="0.25">
      <c r="A44" s="819"/>
      <c r="B44" s="820"/>
      <c r="C44" s="820"/>
      <c r="D44" s="68" t="s">
        <v>33</v>
      </c>
      <c r="E44" s="72">
        <f t="shared" si="4"/>
        <v>0</v>
      </c>
      <c r="F44" s="122">
        <v>0</v>
      </c>
      <c r="G44" s="123">
        <v>0</v>
      </c>
      <c r="H44" s="298">
        <v>0</v>
      </c>
      <c r="I44" s="298">
        <v>0</v>
      </c>
      <c r="J44" s="122">
        <v>0</v>
      </c>
      <c r="K44" s="123">
        <v>0</v>
      </c>
      <c r="L44" s="298">
        <v>0</v>
      </c>
      <c r="M44" s="122">
        <v>0</v>
      </c>
      <c r="N44" s="123">
        <v>0</v>
      </c>
      <c r="O44" s="298">
        <v>0</v>
      </c>
      <c r="P44" s="298">
        <v>0</v>
      </c>
      <c r="Q44" s="122">
        <v>0</v>
      </c>
      <c r="R44" s="123">
        <v>0</v>
      </c>
      <c r="S44" s="298">
        <v>0</v>
      </c>
      <c r="T44" s="124">
        <v>0</v>
      </c>
    </row>
    <row r="45" spans="1:20" ht="15.75" outlineLevel="2" thickBot="1" x14ac:dyDescent="0.3">
      <c r="A45" s="819"/>
      <c r="B45" s="820"/>
      <c r="C45" s="820"/>
      <c r="D45" s="69" t="s">
        <v>34</v>
      </c>
      <c r="E45" s="73">
        <f t="shared" si="4"/>
        <v>0</v>
      </c>
      <c r="F45" s="125">
        <v>0</v>
      </c>
      <c r="G45" s="126">
        <v>0</v>
      </c>
      <c r="H45" s="299">
        <v>0</v>
      </c>
      <c r="I45" s="299">
        <v>0</v>
      </c>
      <c r="J45" s="125">
        <v>0</v>
      </c>
      <c r="K45" s="126">
        <v>0</v>
      </c>
      <c r="L45" s="299">
        <v>0</v>
      </c>
      <c r="M45" s="125">
        <v>0</v>
      </c>
      <c r="N45" s="126">
        <v>0</v>
      </c>
      <c r="O45" s="299">
        <v>0</v>
      </c>
      <c r="P45" s="299">
        <v>0</v>
      </c>
      <c r="Q45" s="125">
        <v>0</v>
      </c>
      <c r="R45" s="126">
        <v>0</v>
      </c>
      <c r="S45" s="299">
        <v>0</v>
      </c>
      <c r="T45" s="127">
        <v>0</v>
      </c>
    </row>
    <row r="46" spans="1:20" outlineLevel="2" x14ac:dyDescent="0.25">
      <c r="A46" s="819" t="s">
        <v>80</v>
      </c>
      <c r="B46" s="820" t="s">
        <v>81</v>
      </c>
      <c r="C46" s="820">
        <v>637001</v>
      </c>
      <c r="D46" s="67" t="s">
        <v>25</v>
      </c>
      <c r="E46" s="72">
        <f t="shared" si="4"/>
        <v>0</v>
      </c>
      <c r="F46" s="119">
        <v>0</v>
      </c>
      <c r="G46" s="120">
        <v>0</v>
      </c>
      <c r="H46" s="297">
        <v>0</v>
      </c>
      <c r="I46" s="297">
        <v>0</v>
      </c>
      <c r="J46" s="119">
        <v>0</v>
      </c>
      <c r="K46" s="120">
        <v>0</v>
      </c>
      <c r="L46" s="297">
        <v>0</v>
      </c>
      <c r="M46" s="119">
        <v>0</v>
      </c>
      <c r="N46" s="120">
        <v>0</v>
      </c>
      <c r="O46" s="297">
        <v>0</v>
      </c>
      <c r="P46" s="297">
        <v>0</v>
      </c>
      <c r="Q46" s="119">
        <v>0</v>
      </c>
      <c r="R46" s="120">
        <v>0</v>
      </c>
      <c r="S46" s="297">
        <v>0</v>
      </c>
      <c r="T46" s="121">
        <v>0</v>
      </c>
    </row>
    <row r="47" spans="1:20" outlineLevel="2" x14ac:dyDescent="0.25">
      <c r="A47" s="819"/>
      <c r="B47" s="820"/>
      <c r="C47" s="820"/>
      <c r="D47" s="68" t="s">
        <v>26</v>
      </c>
      <c r="E47" s="72">
        <f t="shared" si="4"/>
        <v>0</v>
      </c>
      <c r="F47" s="122">
        <v>0</v>
      </c>
      <c r="G47" s="123">
        <v>0</v>
      </c>
      <c r="H47" s="298">
        <v>0</v>
      </c>
      <c r="I47" s="298">
        <v>0</v>
      </c>
      <c r="J47" s="122">
        <v>0</v>
      </c>
      <c r="K47" s="123">
        <v>0</v>
      </c>
      <c r="L47" s="298">
        <v>0</v>
      </c>
      <c r="M47" s="122">
        <v>0</v>
      </c>
      <c r="N47" s="123">
        <v>0</v>
      </c>
      <c r="O47" s="298">
        <v>0</v>
      </c>
      <c r="P47" s="298">
        <v>0</v>
      </c>
      <c r="Q47" s="122">
        <v>0</v>
      </c>
      <c r="R47" s="123">
        <v>0</v>
      </c>
      <c r="S47" s="298">
        <v>0</v>
      </c>
      <c r="T47" s="124">
        <v>0</v>
      </c>
    </row>
    <row r="48" spans="1:20" outlineLevel="2" x14ac:dyDescent="0.25">
      <c r="A48" s="819"/>
      <c r="B48" s="820"/>
      <c r="C48" s="820"/>
      <c r="D48" s="68" t="s">
        <v>27</v>
      </c>
      <c r="E48" s="72">
        <f t="shared" si="4"/>
        <v>85000</v>
      </c>
      <c r="F48" s="122">
        <v>0</v>
      </c>
      <c r="G48" s="123">
        <v>0</v>
      </c>
      <c r="H48" s="298">
        <v>0</v>
      </c>
      <c r="I48" s="298">
        <v>85000</v>
      </c>
      <c r="J48" s="122">
        <v>0</v>
      </c>
      <c r="K48" s="123">
        <v>0</v>
      </c>
      <c r="L48" s="298">
        <v>0</v>
      </c>
      <c r="M48" s="122">
        <v>0</v>
      </c>
      <c r="N48" s="123">
        <v>0</v>
      </c>
      <c r="O48" s="298">
        <v>0</v>
      </c>
      <c r="P48" s="298">
        <v>0</v>
      </c>
      <c r="Q48" s="122">
        <v>0</v>
      </c>
      <c r="R48" s="123">
        <v>0</v>
      </c>
      <c r="S48" s="298">
        <v>0</v>
      </c>
      <c r="T48" s="124">
        <v>0</v>
      </c>
    </row>
    <row r="49" spans="1:20" outlineLevel="2" x14ac:dyDescent="0.25">
      <c r="A49" s="819"/>
      <c r="B49" s="820"/>
      <c r="C49" s="820"/>
      <c r="D49" s="68" t="s">
        <v>28</v>
      </c>
      <c r="E49" s="72">
        <f t="shared" si="4"/>
        <v>0</v>
      </c>
      <c r="F49" s="122">
        <v>0</v>
      </c>
      <c r="G49" s="123">
        <v>0</v>
      </c>
      <c r="H49" s="298">
        <v>0</v>
      </c>
      <c r="I49" s="298">
        <v>0</v>
      </c>
      <c r="J49" s="122">
        <v>0</v>
      </c>
      <c r="K49" s="123">
        <v>0</v>
      </c>
      <c r="L49" s="298">
        <v>0</v>
      </c>
      <c r="M49" s="122">
        <v>0</v>
      </c>
      <c r="N49" s="123">
        <v>0</v>
      </c>
      <c r="O49" s="298">
        <v>0</v>
      </c>
      <c r="P49" s="298">
        <v>0</v>
      </c>
      <c r="Q49" s="122">
        <v>0</v>
      </c>
      <c r="R49" s="123">
        <v>0</v>
      </c>
      <c r="S49" s="298">
        <v>0</v>
      </c>
      <c r="T49" s="124">
        <v>0</v>
      </c>
    </row>
    <row r="50" spans="1:20" outlineLevel="2" x14ac:dyDescent="0.25">
      <c r="A50" s="819"/>
      <c r="B50" s="820"/>
      <c r="C50" s="820"/>
      <c r="D50" s="68" t="s">
        <v>29</v>
      </c>
      <c r="E50" s="72">
        <f t="shared" si="4"/>
        <v>0</v>
      </c>
      <c r="F50" s="122">
        <v>0</v>
      </c>
      <c r="G50" s="123">
        <v>0</v>
      </c>
      <c r="H50" s="298">
        <v>0</v>
      </c>
      <c r="I50" s="298">
        <v>0</v>
      </c>
      <c r="J50" s="122">
        <v>0</v>
      </c>
      <c r="K50" s="123">
        <v>0</v>
      </c>
      <c r="L50" s="298">
        <v>0</v>
      </c>
      <c r="M50" s="122">
        <v>0</v>
      </c>
      <c r="N50" s="123">
        <v>0</v>
      </c>
      <c r="O50" s="298">
        <v>0</v>
      </c>
      <c r="P50" s="298">
        <v>0</v>
      </c>
      <c r="Q50" s="122">
        <v>0</v>
      </c>
      <c r="R50" s="123">
        <v>0</v>
      </c>
      <c r="S50" s="298">
        <v>0</v>
      </c>
      <c r="T50" s="124">
        <v>0</v>
      </c>
    </row>
    <row r="51" spans="1:20" outlineLevel="2" x14ac:dyDescent="0.25">
      <c r="A51" s="819"/>
      <c r="B51" s="820"/>
      <c r="C51" s="820"/>
      <c r="D51" s="68" t="s">
        <v>30</v>
      </c>
      <c r="E51" s="72">
        <f t="shared" si="4"/>
        <v>0</v>
      </c>
      <c r="F51" s="122">
        <v>0</v>
      </c>
      <c r="G51" s="123">
        <v>0</v>
      </c>
      <c r="H51" s="298">
        <v>0</v>
      </c>
      <c r="I51" s="298">
        <v>0</v>
      </c>
      <c r="J51" s="122">
        <v>0</v>
      </c>
      <c r="K51" s="123">
        <v>0</v>
      </c>
      <c r="L51" s="298">
        <v>0</v>
      </c>
      <c r="M51" s="122">
        <v>0</v>
      </c>
      <c r="N51" s="123">
        <v>0</v>
      </c>
      <c r="O51" s="298">
        <v>0</v>
      </c>
      <c r="P51" s="298">
        <v>0</v>
      </c>
      <c r="Q51" s="122">
        <v>0</v>
      </c>
      <c r="R51" s="123">
        <v>0</v>
      </c>
      <c r="S51" s="298">
        <v>0</v>
      </c>
      <c r="T51" s="124">
        <v>0</v>
      </c>
    </row>
    <row r="52" spans="1:20" outlineLevel="2" x14ac:dyDescent="0.25">
      <c r="A52" s="819"/>
      <c r="B52" s="820"/>
      <c r="C52" s="820"/>
      <c r="D52" s="68" t="s">
        <v>31</v>
      </c>
      <c r="E52" s="72">
        <f t="shared" si="4"/>
        <v>0</v>
      </c>
      <c r="F52" s="122">
        <v>0</v>
      </c>
      <c r="G52" s="123">
        <v>0</v>
      </c>
      <c r="H52" s="298">
        <v>0</v>
      </c>
      <c r="I52" s="298">
        <v>0</v>
      </c>
      <c r="J52" s="122">
        <v>0</v>
      </c>
      <c r="K52" s="123">
        <v>0</v>
      </c>
      <c r="L52" s="298">
        <v>0</v>
      </c>
      <c r="M52" s="122">
        <v>0</v>
      </c>
      <c r="N52" s="123">
        <v>0</v>
      </c>
      <c r="O52" s="298">
        <v>0</v>
      </c>
      <c r="P52" s="298">
        <v>0</v>
      </c>
      <c r="Q52" s="122">
        <v>0</v>
      </c>
      <c r="R52" s="123">
        <v>0</v>
      </c>
      <c r="S52" s="298">
        <v>0</v>
      </c>
      <c r="T52" s="124">
        <v>0</v>
      </c>
    </row>
    <row r="53" spans="1:20" outlineLevel="2" x14ac:dyDescent="0.25">
      <c r="A53" s="819"/>
      <c r="B53" s="820"/>
      <c r="C53" s="820"/>
      <c r="D53" s="68" t="s">
        <v>32</v>
      </c>
      <c r="E53" s="72">
        <f t="shared" si="4"/>
        <v>0</v>
      </c>
      <c r="F53" s="122">
        <v>0</v>
      </c>
      <c r="G53" s="123">
        <v>0</v>
      </c>
      <c r="H53" s="298">
        <v>0</v>
      </c>
      <c r="I53" s="298">
        <v>0</v>
      </c>
      <c r="J53" s="122">
        <v>0</v>
      </c>
      <c r="K53" s="123">
        <v>0</v>
      </c>
      <c r="L53" s="298">
        <v>0</v>
      </c>
      <c r="M53" s="122">
        <v>0</v>
      </c>
      <c r="N53" s="123">
        <v>0</v>
      </c>
      <c r="O53" s="298">
        <v>0</v>
      </c>
      <c r="P53" s="298">
        <v>0</v>
      </c>
      <c r="Q53" s="122">
        <v>0</v>
      </c>
      <c r="R53" s="123">
        <v>0</v>
      </c>
      <c r="S53" s="298">
        <v>0</v>
      </c>
      <c r="T53" s="124">
        <v>0</v>
      </c>
    </row>
    <row r="54" spans="1:20" outlineLevel="2" x14ac:dyDescent="0.25">
      <c r="A54" s="819"/>
      <c r="B54" s="820"/>
      <c r="C54" s="820"/>
      <c r="D54" s="68" t="s">
        <v>33</v>
      </c>
      <c r="E54" s="72">
        <f t="shared" si="4"/>
        <v>0</v>
      </c>
      <c r="F54" s="122">
        <v>0</v>
      </c>
      <c r="G54" s="123">
        <v>0</v>
      </c>
      <c r="H54" s="298">
        <v>0</v>
      </c>
      <c r="I54" s="298">
        <v>0</v>
      </c>
      <c r="J54" s="122">
        <v>0</v>
      </c>
      <c r="K54" s="123">
        <v>0</v>
      </c>
      <c r="L54" s="298">
        <v>0</v>
      </c>
      <c r="M54" s="122">
        <v>0</v>
      </c>
      <c r="N54" s="123">
        <v>0</v>
      </c>
      <c r="O54" s="298">
        <v>0</v>
      </c>
      <c r="P54" s="298">
        <v>0</v>
      </c>
      <c r="Q54" s="122">
        <v>0</v>
      </c>
      <c r="R54" s="123">
        <v>0</v>
      </c>
      <c r="S54" s="298">
        <v>0</v>
      </c>
      <c r="T54" s="124">
        <v>0</v>
      </c>
    </row>
    <row r="55" spans="1:20" ht="15.75" outlineLevel="2" thickBot="1" x14ac:dyDescent="0.3">
      <c r="A55" s="819"/>
      <c r="B55" s="820"/>
      <c r="C55" s="820"/>
      <c r="D55" s="68" t="s">
        <v>34</v>
      </c>
      <c r="E55" s="73">
        <f t="shared" si="4"/>
        <v>0</v>
      </c>
      <c r="F55" s="125">
        <v>0</v>
      </c>
      <c r="G55" s="126">
        <v>0</v>
      </c>
      <c r="H55" s="299">
        <v>0</v>
      </c>
      <c r="I55" s="299">
        <v>0</v>
      </c>
      <c r="J55" s="125">
        <v>0</v>
      </c>
      <c r="K55" s="126">
        <v>0</v>
      </c>
      <c r="L55" s="299">
        <v>0</v>
      </c>
      <c r="M55" s="125">
        <v>0</v>
      </c>
      <c r="N55" s="126">
        <v>0</v>
      </c>
      <c r="O55" s="299">
        <v>0</v>
      </c>
      <c r="P55" s="299">
        <v>0</v>
      </c>
      <c r="Q55" s="125">
        <v>0</v>
      </c>
      <c r="R55" s="126">
        <v>0</v>
      </c>
      <c r="S55" s="299">
        <v>0</v>
      </c>
      <c r="T55" s="127">
        <v>0</v>
      </c>
    </row>
    <row r="56" spans="1:20" ht="15.75" thickBot="1" x14ac:dyDescent="0.3">
      <c r="A56" s="817" t="s">
        <v>82</v>
      </c>
      <c r="B56" s="818"/>
      <c r="C56" s="818"/>
      <c r="D56" s="81"/>
      <c r="E56" s="77">
        <f t="shared" ref="E56:T56" si="5">E57+E78</f>
        <v>7978485.6000000052</v>
      </c>
      <c r="F56" s="78">
        <f t="shared" si="5"/>
        <v>101606.40000000001</v>
      </c>
      <c r="G56" s="78">
        <f t="shared" si="5"/>
        <v>155534.39999999999</v>
      </c>
      <c r="H56" s="292">
        <f t="shared" si="5"/>
        <v>1177344</v>
      </c>
      <c r="I56" s="292">
        <f t="shared" si="5"/>
        <v>699048</v>
      </c>
      <c r="J56" s="78">
        <f t="shared" si="5"/>
        <v>234460.80000000002</v>
      </c>
      <c r="K56" s="78">
        <f t="shared" si="5"/>
        <v>189504</v>
      </c>
      <c r="L56" s="292">
        <f t="shared" si="5"/>
        <v>156441.60000000001</v>
      </c>
      <c r="M56" s="78">
        <f t="shared" si="5"/>
        <v>278107.2</v>
      </c>
      <c r="N56" s="78">
        <f t="shared" si="5"/>
        <v>306734.39999999997</v>
      </c>
      <c r="O56" s="292">
        <f t="shared" si="5"/>
        <v>686145.60000000009</v>
      </c>
      <c r="P56" s="292">
        <f t="shared" si="5"/>
        <v>150040.80000000002</v>
      </c>
      <c r="Q56" s="78">
        <f t="shared" si="5"/>
        <v>158760</v>
      </c>
      <c r="R56" s="78">
        <f t="shared" si="5"/>
        <v>47275.200000000004</v>
      </c>
      <c r="S56" s="292">
        <f t="shared" si="5"/>
        <v>2800727.9999999995</v>
      </c>
      <c r="T56" s="79">
        <f t="shared" si="5"/>
        <v>836755.20000000019</v>
      </c>
    </row>
    <row r="57" spans="1:20" ht="15.75" outlineLevel="1" thickBot="1" x14ac:dyDescent="0.3">
      <c r="A57" s="17" t="s">
        <v>109</v>
      </c>
      <c r="B57" s="17"/>
      <c r="C57" s="17"/>
      <c r="D57" s="28"/>
      <c r="E57" s="137">
        <f t="shared" ref="E57:T57" si="6">SUM(E58:E77)</f>
        <v>0</v>
      </c>
      <c r="F57" s="138">
        <f t="shared" si="6"/>
        <v>0</v>
      </c>
      <c r="G57" s="138">
        <f t="shared" si="6"/>
        <v>0</v>
      </c>
      <c r="H57" s="300">
        <f t="shared" si="6"/>
        <v>0</v>
      </c>
      <c r="I57" s="300">
        <f t="shared" si="6"/>
        <v>0</v>
      </c>
      <c r="J57" s="138">
        <f t="shared" si="6"/>
        <v>0</v>
      </c>
      <c r="K57" s="138">
        <f t="shared" si="6"/>
        <v>0</v>
      </c>
      <c r="L57" s="300">
        <f t="shared" si="6"/>
        <v>0</v>
      </c>
      <c r="M57" s="138">
        <f t="shared" si="6"/>
        <v>0</v>
      </c>
      <c r="N57" s="138">
        <f t="shared" si="6"/>
        <v>0</v>
      </c>
      <c r="O57" s="300">
        <f t="shared" si="6"/>
        <v>0</v>
      </c>
      <c r="P57" s="300">
        <f t="shared" si="6"/>
        <v>0</v>
      </c>
      <c r="Q57" s="138">
        <f t="shared" si="6"/>
        <v>0</v>
      </c>
      <c r="R57" s="138">
        <f t="shared" si="6"/>
        <v>0</v>
      </c>
      <c r="S57" s="300">
        <f t="shared" si="6"/>
        <v>0</v>
      </c>
      <c r="T57" s="35">
        <f t="shared" si="6"/>
        <v>0</v>
      </c>
    </row>
    <row r="58" spans="1:20" outlineLevel="2" x14ac:dyDescent="0.25">
      <c r="A58" s="819" t="s">
        <v>83</v>
      </c>
      <c r="B58" s="820" t="s">
        <v>84</v>
      </c>
      <c r="C58" s="820">
        <v>635009</v>
      </c>
      <c r="D58" s="67" t="s">
        <v>25</v>
      </c>
      <c r="E58" s="64">
        <f t="shared" ref="E58:E77" si="7">SUM(F58:T58)</f>
        <v>0</v>
      </c>
      <c r="F58" s="128">
        <v>0</v>
      </c>
      <c r="G58" s="129">
        <v>0</v>
      </c>
      <c r="H58" s="293">
        <v>0</v>
      </c>
      <c r="I58" s="293">
        <v>0</v>
      </c>
      <c r="J58" s="128">
        <v>0</v>
      </c>
      <c r="K58" s="129">
        <v>0</v>
      </c>
      <c r="L58" s="293">
        <v>0</v>
      </c>
      <c r="M58" s="128">
        <v>0</v>
      </c>
      <c r="N58" s="129">
        <v>0</v>
      </c>
      <c r="O58" s="293">
        <v>0</v>
      </c>
      <c r="P58" s="293">
        <v>0</v>
      </c>
      <c r="Q58" s="128">
        <v>0</v>
      </c>
      <c r="R58" s="129">
        <v>0</v>
      </c>
      <c r="S58" s="293">
        <v>0</v>
      </c>
      <c r="T58" s="134">
        <v>0</v>
      </c>
    </row>
    <row r="59" spans="1:20" outlineLevel="2" x14ac:dyDescent="0.25">
      <c r="A59" s="819"/>
      <c r="B59" s="820"/>
      <c r="C59" s="820"/>
      <c r="D59" s="68" t="s">
        <v>26</v>
      </c>
      <c r="E59" s="65">
        <f t="shared" si="7"/>
        <v>0</v>
      </c>
      <c r="F59" s="130">
        <v>0</v>
      </c>
      <c r="G59" s="131">
        <v>0</v>
      </c>
      <c r="H59" s="294">
        <v>0</v>
      </c>
      <c r="I59" s="294">
        <v>0</v>
      </c>
      <c r="J59" s="130">
        <v>0</v>
      </c>
      <c r="K59" s="131">
        <v>0</v>
      </c>
      <c r="L59" s="294">
        <v>0</v>
      </c>
      <c r="M59" s="130">
        <v>0</v>
      </c>
      <c r="N59" s="131">
        <v>0</v>
      </c>
      <c r="O59" s="294">
        <v>0</v>
      </c>
      <c r="P59" s="294">
        <v>0</v>
      </c>
      <c r="Q59" s="130">
        <v>0</v>
      </c>
      <c r="R59" s="131">
        <v>0</v>
      </c>
      <c r="S59" s="294">
        <v>0</v>
      </c>
      <c r="T59" s="135">
        <v>0</v>
      </c>
    </row>
    <row r="60" spans="1:20" outlineLevel="2" x14ac:dyDescent="0.25">
      <c r="A60" s="819"/>
      <c r="B60" s="820"/>
      <c r="C60" s="820"/>
      <c r="D60" s="68" t="s">
        <v>27</v>
      </c>
      <c r="E60" s="65">
        <f t="shared" si="7"/>
        <v>0</v>
      </c>
      <c r="F60" s="130">
        <v>0</v>
      </c>
      <c r="G60" s="131">
        <v>0</v>
      </c>
      <c r="H60" s="294">
        <v>0</v>
      </c>
      <c r="I60" s="294">
        <v>0</v>
      </c>
      <c r="J60" s="130">
        <v>0</v>
      </c>
      <c r="K60" s="131">
        <v>0</v>
      </c>
      <c r="L60" s="294">
        <v>0</v>
      </c>
      <c r="M60" s="130">
        <v>0</v>
      </c>
      <c r="N60" s="131">
        <v>0</v>
      </c>
      <c r="O60" s="294">
        <v>0</v>
      </c>
      <c r="P60" s="294">
        <v>0</v>
      </c>
      <c r="Q60" s="130">
        <v>0</v>
      </c>
      <c r="R60" s="131">
        <v>0</v>
      </c>
      <c r="S60" s="294">
        <v>0</v>
      </c>
      <c r="T60" s="135">
        <v>0</v>
      </c>
    </row>
    <row r="61" spans="1:20" outlineLevel="2" x14ac:dyDescent="0.25">
      <c r="A61" s="819"/>
      <c r="B61" s="820"/>
      <c r="C61" s="820"/>
      <c r="D61" s="68" t="s">
        <v>28</v>
      </c>
      <c r="E61" s="65">
        <f t="shared" si="7"/>
        <v>0</v>
      </c>
      <c r="F61" s="130">
        <v>0</v>
      </c>
      <c r="G61" s="131">
        <v>0</v>
      </c>
      <c r="H61" s="294">
        <v>0</v>
      </c>
      <c r="I61" s="294">
        <v>0</v>
      </c>
      <c r="J61" s="130">
        <v>0</v>
      </c>
      <c r="K61" s="131">
        <v>0</v>
      </c>
      <c r="L61" s="294">
        <v>0</v>
      </c>
      <c r="M61" s="130">
        <v>0</v>
      </c>
      <c r="N61" s="131">
        <v>0</v>
      </c>
      <c r="O61" s="294">
        <v>0</v>
      </c>
      <c r="P61" s="294">
        <v>0</v>
      </c>
      <c r="Q61" s="130">
        <v>0</v>
      </c>
      <c r="R61" s="131">
        <v>0</v>
      </c>
      <c r="S61" s="294">
        <v>0</v>
      </c>
      <c r="T61" s="135">
        <v>0</v>
      </c>
    </row>
    <row r="62" spans="1:20" outlineLevel="2" x14ac:dyDescent="0.25">
      <c r="A62" s="819"/>
      <c r="B62" s="820"/>
      <c r="C62" s="820"/>
      <c r="D62" s="68" t="s">
        <v>29</v>
      </c>
      <c r="E62" s="65">
        <f t="shared" si="7"/>
        <v>0</v>
      </c>
      <c r="F62" s="130">
        <v>0</v>
      </c>
      <c r="G62" s="131">
        <v>0</v>
      </c>
      <c r="H62" s="294">
        <v>0</v>
      </c>
      <c r="I62" s="294">
        <v>0</v>
      </c>
      <c r="J62" s="130">
        <v>0</v>
      </c>
      <c r="K62" s="131">
        <v>0</v>
      </c>
      <c r="L62" s="294">
        <v>0</v>
      </c>
      <c r="M62" s="130">
        <v>0</v>
      </c>
      <c r="N62" s="131">
        <v>0</v>
      </c>
      <c r="O62" s="294">
        <v>0</v>
      </c>
      <c r="P62" s="294">
        <v>0</v>
      </c>
      <c r="Q62" s="130">
        <v>0</v>
      </c>
      <c r="R62" s="131">
        <v>0</v>
      </c>
      <c r="S62" s="294">
        <v>0</v>
      </c>
      <c r="T62" s="135">
        <v>0</v>
      </c>
    </row>
    <row r="63" spans="1:20" outlineLevel="2" x14ac:dyDescent="0.25">
      <c r="A63" s="819"/>
      <c r="B63" s="820"/>
      <c r="C63" s="820"/>
      <c r="D63" s="68" t="s">
        <v>30</v>
      </c>
      <c r="E63" s="65">
        <f t="shared" si="7"/>
        <v>0</v>
      </c>
      <c r="F63" s="130">
        <v>0</v>
      </c>
      <c r="G63" s="131">
        <v>0</v>
      </c>
      <c r="H63" s="294">
        <v>0</v>
      </c>
      <c r="I63" s="294">
        <v>0</v>
      </c>
      <c r="J63" s="130">
        <v>0</v>
      </c>
      <c r="K63" s="131">
        <v>0</v>
      </c>
      <c r="L63" s="294">
        <v>0</v>
      </c>
      <c r="M63" s="130">
        <v>0</v>
      </c>
      <c r="N63" s="131">
        <v>0</v>
      </c>
      <c r="O63" s="294">
        <v>0</v>
      </c>
      <c r="P63" s="294">
        <v>0</v>
      </c>
      <c r="Q63" s="130">
        <v>0</v>
      </c>
      <c r="R63" s="131">
        <v>0</v>
      </c>
      <c r="S63" s="294">
        <v>0</v>
      </c>
      <c r="T63" s="135">
        <v>0</v>
      </c>
    </row>
    <row r="64" spans="1:20" outlineLevel="2" x14ac:dyDescent="0.25">
      <c r="A64" s="819"/>
      <c r="B64" s="820"/>
      <c r="C64" s="820"/>
      <c r="D64" s="68" t="s">
        <v>31</v>
      </c>
      <c r="E64" s="65">
        <f t="shared" si="7"/>
        <v>0</v>
      </c>
      <c r="F64" s="130">
        <v>0</v>
      </c>
      <c r="G64" s="131">
        <v>0</v>
      </c>
      <c r="H64" s="294">
        <v>0</v>
      </c>
      <c r="I64" s="294">
        <v>0</v>
      </c>
      <c r="J64" s="130">
        <v>0</v>
      </c>
      <c r="K64" s="131">
        <v>0</v>
      </c>
      <c r="L64" s="294">
        <v>0</v>
      </c>
      <c r="M64" s="130">
        <v>0</v>
      </c>
      <c r="N64" s="131">
        <v>0</v>
      </c>
      <c r="O64" s="294">
        <v>0</v>
      </c>
      <c r="P64" s="294">
        <v>0</v>
      </c>
      <c r="Q64" s="130">
        <v>0</v>
      </c>
      <c r="R64" s="131">
        <v>0</v>
      </c>
      <c r="S64" s="294">
        <v>0</v>
      </c>
      <c r="T64" s="135">
        <v>0</v>
      </c>
    </row>
    <row r="65" spans="1:20" outlineLevel="2" x14ac:dyDescent="0.25">
      <c r="A65" s="819"/>
      <c r="B65" s="820"/>
      <c r="C65" s="820"/>
      <c r="D65" s="68" t="s">
        <v>32</v>
      </c>
      <c r="E65" s="65">
        <f t="shared" si="7"/>
        <v>0</v>
      </c>
      <c r="F65" s="130">
        <v>0</v>
      </c>
      <c r="G65" s="131">
        <v>0</v>
      </c>
      <c r="H65" s="294">
        <v>0</v>
      </c>
      <c r="I65" s="294">
        <v>0</v>
      </c>
      <c r="J65" s="130">
        <v>0</v>
      </c>
      <c r="K65" s="131">
        <v>0</v>
      </c>
      <c r="L65" s="294">
        <v>0</v>
      </c>
      <c r="M65" s="130">
        <v>0</v>
      </c>
      <c r="N65" s="131">
        <v>0</v>
      </c>
      <c r="O65" s="294">
        <v>0</v>
      </c>
      <c r="P65" s="294">
        <v>0</v>
      </c>
      <c r="Q65" s="130">
        <v>0</v>
      </c>
      <c r="R65" s="131">
        <v>0</v>
      </c>
      <c r="S65" s="294">
        <v>0</v>
      </c>
      <c r="T65" s="135">
        <v>0</v>
      </c>
    </row>
    <row r="66" spans="1:20" outlineLevel="2" x14ac:dyDescent="0.25">
      <c r="A66" s="819"/>
      <c r="B66" s="820"/>
      <c r="C66" s="820"/>
      <c r="D66" s="68" t="s">
        <v>33</v>
      </c>
      <c r="E66" s="65">
        <f t="shared" si="7"/>
        <v>0</v>
      </c>
      <c r="F66" s="130">
        <v>0</v>
      </c>
      <c r="G66" s="131">
        <v>0</v>
      </c>
      <c r="H66" s="294">
        <v>0</v>
      </c>
      <c r="I66" s="294">
        <v>0</v>
      </c>
      <c r="J66" s="130">
        <v>0</v>
      </c>
      <c r="K66" s="131">
        <v>0</v>
      </c>
      <c r="L66" s="294">
        <v>0</v>
      </c>
      <c r="M66" s="130">
        <v>0</v>
      </c>
      <c r="N66" s="131">
        <v>0</v>
      </c>
      <c r="O66" s="294">
        <v>0</v>
      </c>
      <c r="P66" s="294">
        <v>0</v>
      </c>
      <c r="Q66" s="130">
        <v>0</v>
      </c>
      <c r="R66" s="131">
        <v>0</v>
      </c>
      <c r="S66" s="294">
        <v>0</v>
      </c>
      <c r="T66" s="135">
        <v>0</v>
      </c>
    </row>
    <row r="67" spans="1:20" ht="15.75" outlineLevel="2" thickBot="1" x14ac:dyDescent="0.3">
      <c r="A67" s="819"/>
      <c r="B67" s="820"/>
      <c r="C67" s="820"/>
      <c r="D67" s="69" t="s">
        <v>34</v>
      </c>
      <c r="E67" s="66">
        <f t="shared" si="7"/>
        <v>0</v>
      </c>
      <c r="F67" s="132">
        <v>0</v>
      </c>
      <c r="G67" s="133">
        <v>0</v>
      </c>
      <c r="H67" s="295">
        <v>0</v>
      </c>
      <c r="I67" s="295">
        <v>0</v>
      </c>
      <c r="J67" s="132">
        <v>0</v>
      </c>
      <c r="K67" s="133">
        <v>0</v>
      </c>
      <c r="L67" s="295">
        <v>0</v>
      </c>
      <c r="M67" s="132">
        <v>0</v>
      </c>
      <c r="N67" s="133">
        <v>0</v>
      </c>
      <c r="O67" s="295">
        <v>0</v>
      </c>
      <c r="P67" s="295">
        <v>0</v>
      </c>
      <c r="Q67" s="132">
        <v>0</v>
      </c>
      <c r="R67" s="133">
        <v>0</v>
      </c>
      <c r="S67" s="295">
        <v>0</v>
      </c>
      <c r="T67" s="136">
        <v>0</v>
      </c>
    </row>
    <row r="68" spans="1:20" outlineLevel="2" x14ac:dyDescent="0.25">
      <c r="A68" s="819" t="s">
        <v>85</v>
      </c>
      <c r="B68" s="820" t="s">
        <v>76</v>
      </c>
      <c r="C68" s="820">
        <v>718006</v>
      </c>
      <c r="D68" s="67" t="s">
        <v>25</v>
      </c>
      <c r="E68" s="65">
        <f t="shared" si="7"/>
        <v>0</v>
      </c>
      <c r="F68" s="128">
        <v>0</v>
      </c>
      <c r="G68" s="129">
        <v>0</v>
      </c>
      <c r="H68" s="293">
        <v>0</v>
      </c>
      <c r="I68" s="293">
        <v>0</v>
      </c>
      <c r="J68" s="128">
        <v>0</v>
      </c>
      <c r="K68" s="129">
        <v>0</v>
      </c>
      <c r="L68" s="293">
        <v>0</v>
      </c>
      <c r="M68" s="128">
        <v>0</v>
      </c>
      <c r="N68" s="129">
        <v>0</v>
      </c>
      <c r="O68" s="293">
        <v>0</v>
      </c>
      <c r="P68" s="293">
        <v>0</v>
      </c>
      <c r="Q68" s="128">
        <v>0</v>
      </c>
      <c r="R68" s="129">
        <v>0</v>
      </c>
      <c r="S68" s="293">
        <v>0</v>
      </c>
      <c r="T68" s="134">
        <v>0</v>
      </c>
    </row>
    <row r="69" spans="1:20" outlineLevel="2" x14ac:dyDescent="0.25">
      <c r="A69" s="819"/>
      <c r="B69" s="820"/>
      <c r="C69" s="820"/>
      <c r="D69" s="68" t="s">
        <v>26</v>
      </c>
      <c r="E69" s="65">
        <f t="shared" si="7"/>
        <v>0</v>
      </c>
      <c r="F69" s="130">
        <v>0</v>
      </c>
      <c r="G69" s="131">
        <v>0</v>
      </c>
      <c r="H69" s="294">
        <v>0</v>
      </c>
      <c r="I69" s="294">
        <v>0</v>
      </c>
      <c r="J69" s="130">
        <v>0</v>
      </c>
      <c r="K69" s="131">
        <v>0</v>
      </c>
      <c r="L69" s="294">
        <v>0</v>
      </c>
      <c r="M69" s="130">
        <v>0</v>
      </c>
      <c r="N69" s="131">
        <v>0</v>
      </c>
      <c r="O69" s="294">
        <v>0</v>
      </c>
      <c r="P69" s="294">
        <v>0</v>
      </c>
      <c r="Q69" s="130">
        <v>0</v>
      </c>
      <c r="R69" s="131">
        <v>0</v>
      </c>
      <c r="S69" s="294">
        <v>0</v>
      </c>
      <c r="T69" s="135">
        <v>0</v>
      </c>
    </row>
    <row r="70" spans="1:20" outlineLevel="2" x14ac:dyDescent="0.25">
      <c r="A70" s="819"/>
      <c r="B70" s="820"/>
      <c r="C70" s="820"/>
      <c r="D70" s="68" t="s">
        <v>27</v>
      </c>
      <c r="E70" s="65">
        <f t="shared" si="7"/>
        <v>0</v>
      </c>
      <c r="F70" s="130">
        <v>0</v>
      </c>
      <c r="G70" s="131">
        <v>0</v>
      </c>
      <c r="H70" s="294">
        <v>0</v>
      </c>
      <c r="I70" s="294">
        <v>0</v>
      </c>
      <c r="J70" s="130">
        <v>0</v>
      </c>
      <c r="K70" s="131">
        <v>0</v>
      </c>
      <c r="L70" s="294">
        <v>0</v>
      </c>
      <c r="M70" s="130">
        <v>0</v>
      </c>
      <c r="N70" s="131">
        <v>0</v>
      </c>
      <c r="O70" s="294">
        <v>0</v>
      </c>
      <c r="P70" s="294">
        <v>0</v>
      </c>
      <c r="Q70" s="130">
        <v>0</v>
      </c>
      <c r="R70" s="131">
        <v>0</v>
      </c>
      <c r="S70" s="294">
        <v>0</v>
      </c>
      <c r="T70" s="135">
        <v>0</v>
      </c>
    </row>
    <row r="71" spans="1:20" outlineLevel="2" x14ac:dyDescent="0.25">
      <c r="A71" s="819"/>
      <c r="B71" s="820"/>
      <c r="C71" s="820"/>
      <c r="D71" s="68" t="s">
        <v>28</v>
      </c>
      <c r="E71" s="65">
        <f t="shared" si="7"/>
        <v>0</v>
      </c>
      <c r="F71" s="130">
        <v>0</v>
      </c>
      <c r="G71" s="131">
        <v>0</v>
      </c>
      <c r="H71" s="294">
        <v>0</v>
      </c>
      <c r="I71" s="294">
        <v>0</v>
      </c>
      <c r="J71" s="130">
        <v>0</v>
      </c>
      <c r="K71" s="131">
        <v>0</v>
      </c>
      <c r="L71" s="294">
        <v>0</v>
      </c>
      <c r="M71" s="130">
        <v>0</v>
      </c>
      <c r="N71" s="131">
        <v>0</v>
      </c>
      <c r="O71" s="294">
        <v>0</v>
      </c>
      <c r="P71" s="294">
        <v>0</v>
      </c>
      <c r="Q71" s="130">
        <v>0</v>
      </c>
      <c r="R71" s="131">
        <v>0</v>
      </c>
      <c r="S71" s="294">
        <v>0</v>
      </c>
      <c r="T71" s="135">
        <v>0</v>
      </c>
    </row>
    <row r="72" spans="1:20" outlineLevel="2" x14ac:dyDescent="0.25">
      <c r="A72" s="819"/>
      <c r="B72" s="820"/>
      <c r="C72" s="820"/>
      <c r="D72" s="68" t="s">
        <v>29</v>
      </c>
      <c r="E72" s="65">
        <f t="shared" si="7"/>
        <v>0</v>
      </c>
      <c r="F72" s="130">
        <v>0</v>
      </c>
      <c r="G72" s="131">
        <v>0</v>
      </c>
      <c r="H72" s="294">
        <v>0</v>
      </c>
      <c r="I72" s="294">
        <v>0</v>
      </c>
      <c r="J72" s="130">
        <v>0</v>
      </c>
      <c r="K72" s="131">
        <v>0</v>
      </c>
      <c r="L72" s="294">
        <v>0</v>
      </c>
      <c r="M72" s="130">
        <v>0</v>
      </c>
      <c r="N72" s="131">
        <v>0</v>
      </c>
      <c r="O72" s="294">
        <v>0</v>
      </c>
      <c r="P72" s="294">
        <v>0</v>
      </c>
      <c r="Q72" s="130">
        <v>0</v>
      </c>
      <c r="R72" s="131">
        <v>0</v>
      </c>
      <c r="S72" s="294">
        <v>0</v>
      </c>
      <c r="T72" s="135">
        <v>0</v>
      </c>
    </row>
    <row r="73" spans="1:20" outlineLevel="2" x14ac:dyDescent="0.25">
      <c r="A73" s="819"/>
      <c r="B73" s="820"/>
      <c r="C73" s="820"/>
      <c r="D73" s="68" t="s">
        <v>30</v>
      </c>
      <c r="E73" s="65">
        <f t="shared" si="7"/>
        <v>0</v>
      </c>
      <c r="F73" s="130">
        <v>0</v>
      </c>
      <c r="G73" s="131">
        <v>0</v>
      </c>
      <c r="H73" s="294">
        <v>0</v>
      </c>
      <c r="I73" s="294">
        <v>0</v>
      </c>
      <c r="J73" s="130">
        <v>0</v>
      </c>
      <c r="K73" s="131">
        <v>0</v>
      </c>
      <c r="L73" s="294">
        <v>0</v>
      </c>
      <c r="M73" s="130">
        <v>0</v>
      </c>
      <c r="N73" s="131">
        <v>0</v>
      </c>
      <c r="O73" s="294">
        <v>0</v>
      </c>
      <c r="P73" s="294">
        <v>0</v>
      </c>
      <c r="Q73" s="130">
        <v>0</v>
      </c>
      <c r="R73" s="131">
        <v>0</v>
      </c>
      <c r="S73" s="294">
        <v>0</v>
      </c>
      <c r="T73" s="135">
        <v>0</v>
      </c>
    </row>
    <row r="74" spans="1:20" outlineLevel="2" x14ac:dyDescent="0.25">
      <c r="A74" s="819"/>
      <c r="B74" s="820"/>
      <c r="C74" s="820"/>
      <c r="D74" s="68" t="s">
        <v>31</v>
      </c>
      <c r="E74" s="65">
        <f t="shared" si="7"/>
        <v>0</v>
      </c>
      <c r="F74" s="130">
        <v>0</v>
      </c>
      <c r="G74" s="131">
        <v>0</v>
      </c>
      <c r="H74" s="294">
        <v>0</v>
      </c>
      <c r="I74" s="294">
        <v>0</v>
      </c>
      <c r="J74" s="130">
        <v>0</v>
      </c>
      <c r="K74" s="131">
        <v>0</v>
      </c>
      <c r="L74" s="294">
        <v>0</v>
      </c>
      <c r="M74" s="130">
        <v>0</v>
      </c>
      <c r="N74" s="131">
        <v>0</v>
      </c>
      <c r="O74" s="294">
        <v>0</v>
      </c>
      <c r="P74" s="294">
        <v>0</v>
      </c>
      <c r="Q74" s="130">
        <v>0</v>
      </c>
      <c r="R74" s="131">
        <v>0</v>
      </c>
      <c r="S74" s="294">
        <v>0</v>
      </c>
      <c r="T74" s="135">
        <v>0</v>
      </c>
    </row>
    <row r="75" spans="1:20" outlineLevel="2" x14ac:dyDescent="0.25">
      <c r="A75" s="819"/>
      <c r="B75" s="820"/>
      <c r="C75" s="820"/>
      <c r="D75" s="68" t="s">
        <v>32</v>
      </c>
      <c r="E75" s="65">
        <f t="shared" si="7"/>
        <v>0</v>
      </c>
      <c r="F75" s="130">
        <v>0</v>
      </c>
      <c r="G75" s="131">
        <v>0</v>
      </c>
      <c r="H75" s="294">
        <v>0</v>
      </c>
      <c r="I75" s="294">
        <v>0</v>
      </c>
      <c r="J75" s="130">
        <v>0</v>
      </c>
      <c r="K75" s="131">
        <v>0</v>
      </c>
      <c r="L75" s="294">
        <v>0</v>
      </c>
      <c r="M75" s="130">
        <v>0</v>
      </c>
      <c r="N75" s="131">
        <v>0</v>
      </c>
      <c r="O75" s="294">
        <v>0</v>
      </c>
      <c r="P75" s="294">
        <v>0</v>
      </c>
      <c r="Q75" s="130">
        <v>0</v>
      </c>
      <c r="R75" s="131">
        <v>0</v>
      </c>
      <c r="S75" s="294">
        <v>0</v>
      </c>
      <c r="T75" s="135">
        <v>0</v>
      </c>
    </row>
    <row r="76" spans="1:20" outlineLevel="2" x14ac:dyDescent="0.25">
      <c r="A76" s="819"/>
      <c r="B76" s="820"/>
      <c r="C76" s="820"/>
      <c r="D76" s="68" t="s">
        <v>33</v>
      </c>
      <c r="E76" s="65">
        <f t="shared" si="7"/>
        <v>0</v>
      </c>
      <c r="F76" s="130">
        <v>0</v>
      </c>
      <c r="G76" s="131">
        <v>0</v>
      </c>
      <c r="H76" s="294">
        <v>0</v>
      </c>
      <c r="I76" s="294">
        <v>0</v>
      </c>
      <c r="J76" s="130">
        <v>0</v>
      </c>
      <c r="K76" s="131">
        <v>0</v>
      </c>
      <c r="L76" s="294">
        <v>0</v>
      </c>
      <c r="M76" s="130">
        <v>0</v>
      </c>
      <c r="N76" s="131">
        <v>0</v>
      </c>
      <c r="O76" s="294">
        <v>0</v>
      </c>
      <c r="P76" s="294">
        <v>0</v>
      </c>
      <c r="Q76" s="130">
        <v>0</v>
      </c>
      <c r="R76" s="131">
        <v>0</v>
      </c>
      <c r="S76" s="294">
        <v>0</v>
      </c>
      <c r="T76" s="135">
        <v>0</v>
      </c>
    </row>
    <row r="77" spans="1:20" ht="15.75" outlineLevel="2" thickBot="1" x14ac:dyDescent="0.3">
      <c r="A77" s="819"/>
      <c r="B77" s="820"/>
      <c r="C77" s="820"/>
      <c r="D77" s="69" t="s">
        <v>34</v>
      </c>
      <c r="E77" s="66">
        <f t="shared" si="7"/>
        <v>0</v>
      </c>
      <c r="F77" s="132">
        <v>0</v>
      </c>
      <c r="G77" s="133">
        <v>0</v>
      </c>
      <c r="H77" s="295">
        <v>0</v>
      </c>
      <c r="I77" s="295">
        <v>0</v>
      </c>
      <c r="J77" s="132">
        <v>0</v>
      </c>
      <c r="K77" s="133">
        <v>0</v>
      </c>
      <c r="L77" s="295">
        <v>0</v>
      </c>
      <c r="M77" s="132">
        <v>0</v>
      </c>
      <c r="N77" s="133">
        <v>0</v>
      </c>
      <c r="O77" s="295">
        <v>0</v>
      </c>
      <c r="P77" s="295">
        <v>0</v>
      </c>
      <c r="Q77" s="132">
        <v>0</v>
      </c>
      <c r="R77" s="133">
        <v>0</v>
      </c>
      <c r="S77" s="295">
        <v>0</v>
      </c>
      <c r="T77" s="136">
        <v>0</v>
      </c>
    </row>
    <row r="78" spans="1:20" ht="15.75" outlineLevel="1" thickBot="1" x14ac:dyDescent="0.3">
      <c r="A78" s="17" t="s">
        <v>110</v>
      </c>
      <c r="B78" s="17"/>
      <c r="C78" s="17"/>
      <c r="D78" s="28"/>
      <c r="E78" s="139">
        <f t="shared" ref="E78:T78" si="8">SUM(E79:E128)</f>
        <v>7978485.6000000052</v>
      </c>
      <c r="F78" s="140">
        <f t="shared" si="8"/>
        <v>101606.40000000001</v>
      </c>
      <c r="G78" s="140">
        <f t="shared" si="8"/>
        <v>155534.39999999999</v>
      </c>
      <c r="H78" s="301">
        <f t="shared" si="8"/>
        <v>1177344</v>
      </c>
      <c r="I78" s="301">
        <f t="shared" si="8"/>
        <v>699048</v>
      </c>
      <c r="J78" s="140">
        <f t="shared" si="8"/>
        <v>234460.80000000002</v>
      </c>
      <c r="K78" s="140">
        <f t="shared" si="8"/>
        <v>189504</v>
      </c>
      <c r="L78" s="301">
        <f t="shared" si="8"/>
        <v>156441.60000000001</v>
      </c>
      <c r="M78" s="140">
        <f t="shared" si="8"/>
        <v>278107.2</v>
      </c>
      <c r="N78" s="140">
        <f t="shared" si="8"/>
        <v>306734.39999999997</v>
      </c>
      <c r="O78" s="301">
        <f t="shared" si="8"/>
        <v>686145.60000000009</v>
      </c>
      <c r="P78" s="301">
        <f t="shared" si="8"/>
        <v>150040.80000000002</v>
      </c>
      <c r="Q78" s="140">
        <f t="shared" si="8"/>
        <v>158760</v>
      </c>
      <c r="R78" s="140">
        <f t="shared" si="8"/>
        <v>47275.200000000004</v>
      </c>
      <c r="S78" s="301">
        <f t="shared" si="8"/>
        <v>2800727.9999999995</v>
      </c>
      <c r="T78" s="141">
        <f t="shared" si="8"/>
        <v>836755.20000000019</v>
      </c>
    </row>
    <row r="79" spans="1:20" outlineLevel="2" x14ac:dyDescent="0.25">
      <c r="A79" s="819" t="s">
        <v>86</v>
      </c>
      <c r="B79" s="820" t="s">
        <v>84</v>
      </c>
      <c r="C79" s="820">
        <v>635009</v>
      </c>
      <c r="D79" s="67" t="s">
        <v>25</v>
      </c>
      <c r="E79" s="71">
        <f t="shared" ref="E79:E110" si="9">SUM(F79:T79)</f>
        <v>0</v>
      </c>
      <c r="F79" s="119">
        <v>0</v>
      </c>
      <c r="G79" s="120">
        <v>0</v>
      </c>
      <c r="H79" s="297">
        <v>0</v>
      </c>
      <c r="I79" s="297">
        <v>0</v>
      </c>
      <c r="J79" s="119">
        <v>0</v>
      </c>
      <c r="K79" s="120">
        <v>0</v>
      </c>
      <c r="L79" s="297">
        <v>0</v>
      </c>
      <c r="M79" s="119">
        <v>0</v>
      </c>
      <c r="N79" s="120">
        <v>0</v>
      </c>
      <c r="O79" s="297">
        <v>0</v>
      </c>
      <c r="P79" s="297">
        <v>0</v>
      </c>
      <c r="Q79" s="119">
        <v>0</v>
      </c>
      <c r="R79" s="120">
        <v>0</v>
      </c>
      <c r="S79" s="297">
        <v>0</v>
      </c>
      <c r="T79" s="121">
        <v>0</v>
      </c>
    </row>
    <row r="80" spans="1:20" outlineLevel="2" x14ac:dyDescent="0.25">
      <c r="A80" s="819"/>
      <c r="B80" s="820"/>
      <c r="C80" s="820"/>
      <c r="D80" s="68" t="s">
        <v>26</v>
      </c>
      <c r="E80" s="72">
        <f t="shared" si="9"/>
        <v>0</v>
      </c>
      <c r="F80" s="122">
        <v>0</v>
      </c>
      <c r="G80" s="123">
        <v>0</v>
      </c>
      <c r="H80" s="298">
        <v>0</v>
      </c>
      <c r="I80" s="298">
        <v>0</v>
      </c>
      <c r="J80" s="122">
        <v>0</v>
      </c>
      <c r="K80" s="123">
        <v>0</v>
      </c>
      <c r="L80" s="298">
        <v>0</v>
      </c>
      <c r="M80" s="122">
        <v>0</v>
      </c>
      <c r="N80" s="123">
        <v>0</v>
      </c>
      <c r="O80" s="298">
        <v>0</v>
      </c>
      <c r="P80" s="298">
        <v>0</v>
      </c>
      <c r="Q80" s="122">
        <v>0</v>
      </c>
      <c r="R80" s="123">
        <v>0</v>
      </c>
      <c r="S80" s="298">
        <v>0</v>
      </c>
      <c r="T80" s="124">
        <v>0</v>
      </c>
    </row>
    <row r="81" spans="1:20" outlineLevel="2" x14ac:dyDescent="0.25">
      <c r="A81" s="819"/>
      <c r="B81" s="820"/>
      <c r="C81" s="820"/>
      <c r="D81" s="68" t="s">
        <v>27</v>
      </c>
      <c r="E81" s="72">
        <f t="shared" si="9"/>
        <v>596943.89999999991</v>
      </c>
      <c r="F81" s="122">
        <f t="shared" ref="F81:T88" si="10">0.05*SUM(F$26:F$29)</f>
        <v>12700.800000000001</v>
      </c>
      <c r="G81" s="122">
        <f t="shared" si="10"/>
        <v>19441.8</v>
      </c>
      <c r="H81" s="122">
        <f t="shared" si="10"/>
        <v>147168</v>
      </c>
      <c r="I81" s="122">
        <f t="shared" si="10"/>
        <v>87381</v>
      </c>
      <c r="J81" s="122">
        <f t="shared" si="10"/>
        <v>29307.600000000002</v>
      </c>
      <c r="K81" s="122">
        <f t="shared" si="10"/>
        <v>23688</v>
      </c>
      <c r="L81" s="122">
        <f t="shared" si="10"/>
        <v>19555.2</v>
      </c>
      <c r="M81" s="122">
        <f t="shared" si="10"/>
        <v>34763.4</v>
      </c>
      <c r="N81" s="122">
        <f t="shared" si="10"/>
        <v>38341.800000000003</v>
      </c>
      <c r="O81" s="122">
        <f t="shared" si="10"/>
        <v>85768.200000000012</v>
      </c>
      <c r="P81" s="122">
        <f t="shared" si="10"/>
        <v>18755.100000000002</v>
      </c>
      <c r="Q81" s="122">
        <f t="shared" si="10"/>
        <v>19845</v>
      </c>
      <c r="R81" s="122">
        <f t="shared" si="10"/>
        <v>5909.4000000000005</v>
      </c>
      <c r="S81" s="122">
        <f t="shared" si="10"/>
        <v>38694.6</v>
      </c>
      <c r="T81" s="122">
        <f t="shared" si="10"/>
        <v>15624</v>
      </c>
    </row>
    <row r="82" spans="1:20" outlineLevel="2" x14ac:dyDescent="0.25">
      <c r="A82" s="819"/>
      <c r="B82" s="820"/>
      <c r="C82" s="820"/>
      <c r="D82" s="68" t="s">
        <v>28</v>
      </c>
      <c r="E82" s="72">
        <f t="shared" si="9"/>
        <v>596943.89999999991</v>
      </c>
      <c r="F82" s="122">
        <f t="shared" si="10"/>
        <v>12700.800000000001</v>
      </c>
      <c r="G82" s="122">
        <f t="shared" si="10"/>
        <v>19441.8</v>
      </c>
      <c r="H82" s="122">
        <f t="shared" si="10"/>
        <v>147168</v>
      </c>
      <c r="I82" s="122">
        <f t="shared" si="10"/>
        <v>87381</v>
      </c>
      <c r="J82" s="122">
        <f t="shared" si="10"/>
        <v>29307.600000000002</v>
      </c>
      <c r="K82" s="122">
        <f t="shared" si="10"/>
        <v>23688</v>
      </c>
      <c r="L82" s="122">
        <f t="shared" si="10"/>
        <v>19555.2</v>
      </c>
      <c r="M82" s="122">
        <f t="shared" si="10"/>
        <v>34763.4</v>
      </c>
      <c r="N82" s="122">
        <f t="shared" si="10"/>
        <v>38341.800000000003</v>
      </c>
      <c r="O82" s="122">
        <f t="shared" si="10"/>
        <v>85768.200000000012</v>
      </c>
      <c r="P82" s="122">
        <f t="shared" si="10"/>
        <v>18755.100000000002</v>
      </c>
      <c r="Q82" s="122">
        <f t="shared" si="10"/>
        <v>19845</v>
      </c>
      <c r="R82" s="122">
        <f t="shared" si="10"/>
        <v>5909.4000000000005</v>
      </c>
      <c r="S82" s="122">
        <f t="shared" si="10"/>
        <v>38694.6</v>
      </c>
      <c r="T82" s="122">
        <f t="shared" si="10"/>
        <v>15624</v>
      </c>
    </row>
    <row r="83" spans="1:20" outlineLevel="2" x14ac:dyDescent="0.25">
      <c r="A83" s="819"/>
      <c r="B83" s="820"/>
      <c r="C83" s="820"/>
      <c r="D83" s="68" t="s">
        <v>29</v>
      </c>
      <c r="E83" s="72">
        <f t="shared" si="9"/>
        <v>596943.89999999991</v>
      </c>
      <c r="F83" s="122">
        <f t="shared" si="10"/>
        <v>12700.800000000001</v>
      </c>
      <c r="G83" s="122">
        <f t="shared" si="10"/>
        <v>19441.8</v>
      </c>
      <c r="H83" s="122">
        <f t="shared" si="10"/>
        <v>147168</v>
      </c>
      <c r="I83" s="122">
        <f t="shared" si="10"/>
        <v>87381</v>
      </c>
      <c r="J83" s="122">
        <f t="shared" si="10"/>
        <v>29307.600000000002</v>
      </c>
      <c r="K83" s="122">
        <f t="shared" si="10"/>
        <v>23688</v>
      </c>
      <c r="L83" s="122">
        <f t="shared" si="10"/>
        <v>19555.2</v>
      </c>
      <c r="M83" s="122">
        <f t="shared" si="10"/>
        <v>34763.4</v>
      </c>
      <c r="N83" s="122">
        <f t="shared" si="10"/>
        <v>38341.800000000003</v>
      </c>
      <c r="O83" s="122">
        <f t="shared" si="10"/>
        <v>85768.200000000012</v>
      </c>
      <c r="P83" s="122">
        <f t="shared" si="10"/>
        <v>18755.100000000002</v>
      </c>
      <c r="Q83" s="122">
        <f t="shared" si="10"/>
        <v>19845</v>
      </c>
      <c r="R83" s="122">
        <f t="shared" si="10"/>
        <v>5909.4000000000005</v>
      </c>
      <c r="S83" s="122">
        <f t="shared" si="10"/>
        <v>38694.6</v>
      </c>
      <c r="T83" s="122">
        <f t="shared" si="10"/>
        <v>15624</v>
      </c>
    </row>
    <row r="84" spans="1:20" outlineLevel="2" x14ac:dyDescent="0.25">
      <c r="A84" s="819"/>
      <c r="B84" s="820"/>
      <c r="C84" s="820"/>
      <c r="D84" s="68" t="s">
        <v>30</v>
      </c>
      <c r="E84" s="72">
        <f t="shared" si="9"/>
        <v>596943.89999999991</v>
      </c>
      <c r="F84" s="122">
        <f t="shared" si="10"/>
        <v>12700.800000000001</v>
      </c>
      <c r="G84" s="122">
        <f t="shared" si="10"/>
        <v>19441.8</v>
      </c>
      <c r="H84" s="122">
        <f t="shared" si="10"/>
        <v>147168</v>
      </c>
      <c r="I84" s="122">
        <f t="shared" si="10"/>
        <v>87381</v>
      </c>
      <c r="J84" s="122">
        <f t="shared" si="10"/>
        <v>29307.600000000002</v>
      </c>
      <c r="K84" s="122">
        <f t="shared" si="10"/>
        <v>23688</v>
      </c>
      <c r="L84" s="122">
        <f t="shared" si="10"/>
        <v>19555.2</v>
      </c>
      <c r="M84" s="122">
        <f t="shared" si="10"/>
        <v>34763.4</v>
      </c>
      <c r="N84" s="122">
        <f t="shared" si="10"/>
        <v>38341.800000000003</v>
      </c>
      <c r="O84" s="122">
        <f t="shared" si="10"/>
        <v>85768.200000000012</v>
      </c>
      <c r="P84" s="122">
        <f t="shared" si="10"/>
        <v>18755.100000000002</v>
      </c>
      <c r="Q84" s="122">
        <f t="shared" si="10"/>
        <v>19845</v>
      </c>
      <c r="R84" s="122">
        <f t="shared" si="10"/>
        <v>5909.4000000000005</v>
      </c>
      <c r="S84" s="122">
        <f t="shared" si="10"/>
        <v>38694.6</v>
      </c>
      <c r="T84" s="122">
        <f t="shared" si="10"/>
        <v>15624</v>
      </c>
    </row>
    <row r="85" spans="1:20" outlineLevel="2" x14ac:dyDescent="0.25">
      <c r="A85" s="819"/>
      <c r="B85" s="820"/>
      <c r="C85" s="820"/>
      <c r="D85" s="68" t="s">
        <v>31</v>
      </c>
      <c r="E85" s="72">
        <f t="shared" si="9"/>
        <v>596943.89999999991</v>
      </c>
      <c r="F85" s="122">
        <f t="shared" si="10"/>
        <v>12700.800000000001</v>
      </c>
      <c r="G85" s="122">
        <f t="shared" si="10"/>
        <v>19441.8</v>
      </c>
      <c r="H85" s="122">
        <f t="shared" si="10"/>
        <v>147168</v>
      </c>
      <c r="I85" s="122">
        <f t="shared" si="10"/>
        <v>87381</v>
      </c>
      <c r="J85" s="122">
        <f t="shared" si="10"/>
        <v>29307.600000000002</v>
      </c>
      <c r="K85" s="122">
        <f t="shared" si="10"/>
        <v>23688</v>
      </c>
      <c r="L85" s="122">
        <f t="shared" si="10"/>
        <v>19555.2</v>
      </c>
      <c r="M85" s="122">
        <f t="shared" si="10"/>
        <v>34763.4</v>
      </c>
      <c r="N85" s="122">
        <f t="shared" si="10"/>
        <v>38341.800000000003</v>
      </c>
      <c r="O85" s="122">
        <f t="shared" si="10"/>
        <v>85768.200000000012</v>
      </c>
      <c r="P85" s="122">
        <f t="shared" si="10"/>
        <v>18755.100000000002</v>
      </c>
      <c r="Q85" s="122">
        <f t="shared" si="10"/>
        <v>19845</v>
      </c>
      <c r="R85" s="122">
        <f t="shared" si="10"/>
        <v>5909.4000000000005</v>
      </c>
      <c r="S85" s="122">
        <f t="shared" si="10"/>
        <v>38694.6</v>
      </c>
      <c r="T85" s="122">
        <f t="shared" si="10"/>
        <v>15624</v>
      </c>
    </row>
    <row r="86" spans="1:20" outlineLevel="2" x14ac:dyDescent="0.25">
      <c r="A86" s="819"/>
      <c r="B86" s="820"/>
      <c r="C86" s="820"/>
      <c r="D86" s="68" t="s">
        <v>32</v>
      </c>
      <c r="E86" s="72">
        <f t="shared" si="9"/>
        <v>596943.89999999991</v>
      </c>
      <c r="F86" s="122">
        <f t="shared" si="10"/>
        <v>12700.800000000001</v>
      </c>
      <c r="G86" s="122">
        <f t="shared" si="10"/>
        <v>19441.8</v>
      </c>
      <c r="H86" s="122">
        <f t="shared" si="10"/>
        <v>147168</v>
      </c>
      <c r="I86" s="122">
        <f t="shared" si="10"/>
        <v>87381</v>
      </c>
      <c r="J86" s="122">
        <f t="shared" si="10"/>
        <v>29307.600000000002</v>
      </c>
      <c r="K86" s="122">
        <f t="shared" si="10"/>
        <v>23688</v>
      </c>
      <c r="L86" s="122">
        <f t="shared" si="10"/>
        <v>19555.2</v>
      </c>
      <c r="M86" s="122">
        <f t="shared" si="10"/>
        <v>34763.4</v>
      </c>
      <c r="N86" s="122">
        <f t="shared" si="10"/>
        <v>38341.800000000003</v>
      </c>
      <c r="O86" s="122">
        <f t="shared" si="10"/>
        <v>85768.200000000012</v>
      </c>
      <c r="P86" s="122">
        <f t="shared" si="10"/>
        <v>18755.100000000002</v>
      </c>
      <c r="Q86" s="122">
        <f t="shared" si="10"/>
        <v>19845</v>
      </c>
      <c r="R86" s="122">
        <f t="shared" si="10"/>
        <v>5909.4000000000005</v>
      </c>
      <c r="S86" s="122">
        <f t="shared" si="10"/>
        <v>38694.6</v>
      </c>
      <c r="T86" s="122">
        <f t="shared" si="10"/>
        <v>15624</v>
      </c>
    </row>
    <row r="87" spans="1:20" outlineLevel="2" x14ac:dyDescent="0.25">
      <c r="A87" s="819"/>
      <c r="B87" s="820"/>
      <c r="C87" s="820"/>
      <c r="D87" s="68" t="s">
        <v>33</v>
      </c>
      <c r="E87" s="72">
        <f t="shared" si="9"/>
        <v>596943.89999999991</v>
      </c>
      <c r="F87" s="122">
        <f t="shared" si="10"/>
        <v>12700.800000000001</v>
      </c>
      <c r="G87" s="122">
        <f t="shared" si="10"/>
        <v>19441.8</v>
      </c>
      <c r="H87" s="122">
        <f t="shared" si="10"/>
        <v>147168</v>
      </c>
      <c r="I87" s="122">
        <f t="shared" si="10"/>
        <v>87381</v>
      </c>
      <c r="J87" s="122">
        <f t="shared" si="10"/>
        <v>29307.600000000002</v>
      </c>
      <c r="K87" s="122">
        <f t="shared" si="10"/>
        <v>23688</v>
      </c>
      <c r="L87" s="122">
        <f t="shared" si="10"/>
        <v>19555.2</v>
      </c>
      <c r="M87" s="122">
        <f t="shared" si="10"/>
        <v>34763.4</v>
      </c>
      <c r="N87" s="122">
        <f t="shared" si="10"/>
        <v>38341.800000000003</v>
      </c>
      <c r="O87" s="122">
        <f t="shared" si="10"/>
        <v>85768.200000000012</v>
      </c>
      <c r="P87" s="122">
        <f t="shared" si="10"/>
        <v>18755.100000000002</v>
      </c>
      <c r="Q87" s="122">
        <f t="shared" si="10"/>
        <v>19845</v>
      </c>
      <c r="R87" s="122">
        <f t="shared" si="10"/>
        <v>5909.4000000000005</v>
      </c>
      <c r="S87" s="122">
        <f t="shared" si="10"/>
        <v>38694.6</v>
      </c>
      <c r="T87" s="122">
        <f t="shared" si="10"/>
        <v>15624</v>
      </c>
    </row>
    <row r="88" spans="1:20" ht="15.75" outlineLevel="2" thickBot="1" x14ac:dyDescent="0.3">
      <c r="A88" s="819"/>
      <c r="B88" s="820"/>
      <c r="C88" s="820"/>
      <c r="D88" s="69" t="s">
        <v>34</v>
      </c>
      <c r="E88" s="73">
        <f t="shared" si="9"/>
        <v>596943.89999999991</v>
      </c>
      <c r="F88" s="122">
        <f t="shared" si="10"/>
        <v>12700.800000000001</v>
      </c>
      <c r="G88" s="122">
        <f t="shared" si="10"/>
        <v>19441.8</v>
      </c>
      <c r="H88" s="122">
        <f t="shared" si="10"/>
        <v>147168</v>
      </c>
      <c r="I88" s="122">
        <f t="shared" si="10"/>
        <v>87381</v>
      </c>
      <c r="J88" s="122">
        <f t="shared" si="10"/>
        <v>29307.600000000002</v>
      </c>
      <c r="K88" s="122">
        <f t="shared" si="10"/>
        <v>23688</v>
      </c>
      <c r="L88" s="122">
        <f t="shared" si="10"/>
        <v>19555.2</v>
      </c>
      <c r="M88" s="122">
        <f t="shared" si="10"/>
        <v>34763.4</v>
      </c>
      <c r="N88" s="122">
        <f t="shared" si="10"/>
        <v>38341.800000000003</v>
      </c>
      <c r="O88" s="122">
        <f t="shared" si="10"/>
        <v>85768.200000000012</v>
      </c>
      <c r="P88" s="122">
        <f t="shared" si="10"/>
        <v>18755.100000000002</v>
      </c>
      <c r="Q88" s="122">
        <f t="shared" si="10"/>
        <v>19845</v>
      </c>
      <c r="R88" s="122">
        <f t="shared" si="10"/>
        <v>5909.4000000000005</v>
      </c>
      <c r="S88" s="122">
        <f t="shared" si="10"/>
        <v>38694.6</v>
      </c>
      <c r="T88" s="122">
        <f t="shared" si="10"/>
        <v>15624</v>
      </c>
    </row>
    <row r="89" spans="1:20" outlineLevel="2" x14ac:dyDescent="0.25">
      <c r="A89" s="819" t="s">
        <v>87</v>
      </c>
      <c r="B89" s="820" t="s">
        <v>81</v>
      </c>
      <c r="C89" s="820">
        <v>637005</v>
      </c>
      <c r="D89" s="67" t="s">
        <v>25</v>
      </c>
      <c r="E89" s="72">
        <f t="shared" si="9"/>
        <v>0</v>
      </c>
      <c r="F89" s="119">
        <v>0</v>
      </c>
      <c r="G89" s="120">
        <v>0</v>
      </c>
      <c r="H89" s="297">
        <v>0</v>
      </c>
      <c r="I89" s="297">
        <v>0</v>
      </c>
      <c r="J89" s="119">
        <v>0</v>
      </c>
      <c r="K89" s="120">
        <v>0</v>
      </c>
      <c r="L89" s="297">
        <v>0</v>
      </c>
      <c r="M89" s="119">
        <v>0</v>
      </c>
      <c r="N89" s="120">
        <v>0</v>
      </c>
      <c r="O89" s="297">
        <v>0</v>
      </c>
      <c r="P89" s="297">
        <v>0</v>
      </c>
      <c r="Q89" s="119">
        <v>0</v>
      </c>
      <c r="R89" s="120">
        <v>0</v>
      </c>
      <c r="S89" s="297">
        <v>0</v>
      </c>
      <c r="T89" s="121">
        <v>0</v>
      </c>
    </row>
    <row r="90" spans="1:20" outlineLevel="2" x14ac:dyDescent="0.25">
      <c r="A90" s="819"/>
      <c r="B90" s="820"/>
      <c r="C90" s="820"/>
      <c r="D90" s="68" t="s">
        <v>26</v>
      </c>
      <c r="E90" s="72">
        <f t="shared" si="9"/>
        <v>0</v>
      </c>
      <c r="F90" s="122">
        <v>0</v>
      </c>
      <c r="G90" s="123">
        <v>0</v>
      </c>
      <c r="H90" s="298">
        <v>0</v>
      </c>
      <c r="I90" s="298">
        <v>0</v>
      </c>
      <c r="J90" s="122">
        <v>0</v>
      </c>
      <c r="K90" s="123">
        <v>0</v>
      </c>
      <c r="L90" s="298">
        <v>0</v>
      </c>
      <c r="M90" s="122">
        <v>0</v>
      </c>
      <c r="N90" s="123">
        <v>0</v>
      </c>
      <c r="O90" s="298">
        <v>0</v>
      </c>
      <c r="P90" s="298">
        <v>0</v>
      </c>
      <c r="Q90" s="122">
        <v>0</v>
      </c>
      <c r="R90" s="123">
        <v>0</v>
      </c>
      <c r="S90" s="298">
        <v>0</v>
      </c>
      <c r="T90" s="124">
        <v>0</v>
      </c>
    </row>
    <row r="91" spans="1:20" outlineLevel="2" x14ac:dyDescent="0.25">
      <c r="A91" s="819"/>
      <c r="B91" s="820"/>
      <c r="C91" s="820"/>
      <c r="D91" s="68" t="s">
        <v>27</v>
      </c>
      <c r="E91" s="72">
        <f t="shared" si="9"/>
        <v>88970.400000000009</v>
      </c>
      <c r="F91" s="122">
        <v>0</v>
      </c>
      <c r="G91" s="123">
        <v>0</v>
      </c>
      <c r="H91" s="298">
        <v>0</v>
      </c>
      <c r="I91" s="298">
        <v>0</v>
      </c>
      <c r="J91" s="122">
        <v>0</v>
      </c>
      <c r="K91" s="123">
        <v>0</v>
      </c>
      <c r="L91" s="298">
        <v>0</v>
      </c>
      <c r="M91" s="122">
        <v>0</v>
      </c>
      <c r="N91" s="123">
        <v>0</v>
      </c>
      <c r="O91" s="298">
        <v>0</v>
      </c>
      <c r="P91" s="298">
        <v>0</v>
      </c>
      <c r="Q91" s="122">
        <v>0</v>
      </c>
      <c r="R91" s="123">
        <v>0</v>
      </c>
      <c r="S91" s="298">
        <v>0</v>
      </c>
      <c r="T91" s="124">
        <f>4*12*Faktory!D$7 * 1.35</f>
        <v>88970.400000000009</v>
      </c>
    </row>
    <row r="92" spans="1:20" outlineLevel="2" x14ac:dyDescent="0.25">
      <c r="A92" s="819"/>
      <c r="B92" s="820"/>
      <c r="C92" s="820"/>
      <c r="D92" s="68" t="s">
        <v>28</v>
      </c>
      <c r="E92" s="72">
        <f t="shared" si="9"/>
        <v>88970.400000000009</v>
      </c>
      <c r="F92" s="122">
        <v>0</v>
      </c>
      <c r="G92" s="123">
        <v>0</v>
      </c>
      <c r="H92" s="298">
        <v>0</v>
      </c>
      <c r="I92" s="298">
        <v>0</v>
      </c>
      <c r="J92" s="122">
        <v>0</v>
      </c>
      <c r="K92" s="123">
        <v>0</v>
      </c>
      <c r="L92" s="298">
        <v>0</v>
      </c>
      <c r="M92" s="122">
        <v>0</v>
      </c>
      <c r="N92" s="123">
        <v>0</v>
      </c>
      <c r="O92" s="298">
        <v>0</v>
      </c>
      <c r="P92" s="298">
        <v>0</v>
      </c>
      <c r="Q92" s="122">
        <v>0</v>
      </c>
      <c r="R92" s="123">
        <v>0</v>
      </c>
      <c r="S92" s="298">
        <v>0</v>
      </c>
      <c r="T92" s="124">
        <f>4*12*Faktory!D$7 * 1.35</f>
        <v>88970.400000000009</v>
      </c>
    </row>
    <row r="93" spans="1:20" outlineLevel="2" x14ac:dyDescent="0.25">
      <c r="A93" s="819"/>
      <c r="B93" s="820"/>
      <c r="C93" s="820"/>
      <c r="D93" s="68" t="s">
        <v>29</v>
      </c>
      <c r="E93" s="72">
        <f t="shared" si="9"/>
        <v>88970.400000000009</v>
      </c>
      <c r="F93" s="122">
        <v>0</v>
      </c>
      <c r="G93" s="123">
        <v>0</v>
      </c>
      <c r="H93" s="298">
        <v>0</v>
      </c>
      <c r="I93" s="298">
        <v>0</v>
      </c>
      <c r="J93" s="122">
        <v>0</v>
      </c>
      <c r="K93" s="123">
        <v>0</v>
      </c>
      <c r="L93" s="298">
        <v>0</v>
      </c>
      <c r="M93" s="122">
        <v>0</v>
      </c>
      <c r="N93" s="123">
        <v>0</v>
      </c>
      <c r="O93" s="298">
        <v>0</v>
      </c>
      <c r="P93" s="298">
        <v>0</v>
      </c>
      <c r="Q93" s="122">
        <v>0</v>
      </c>
      <c r="R93" s="123">
        <v>0</v>
      </c>
      <c r="S93" s="298">
        <v>0</v>
      </c>
      <c r="T93" s="124">
        <f>4*12*Faktory!D$7 * 1.35</f>
        <v>88970.400000000009</v>
      </c>
    </row>
    <row r="94" spans="1:20" outlineLevel="2" x14ac:dyDescent="0.25">
      <c r="A94" s="819"/>
      <c r="B94" s="820"/>
      <c r="C94" s="820"/>
      <c r="D94" s="68" t="s">
        <v>30</v>
      </c>
      <c r="E94" s="72">
        <f t="shared" si="9"/>
        <v>88970.400000000009</v>
      </c>
      <c r="F94" s="122">
        <v>0</v>
      </c>
      <c r="G94" s="123">
        <v>0</v>
      </c>
      <c r="H94" s="298">
        <v>0</v>
      </c>
      <c r="I94" s="298">
        <v>0</v>
      </c>
      <c r="J94" s="122">
        <v>0</v>
      </c>
      <c r="K94" s="123">
        <v>0</v>
      </c>
      <c r="L94" s="298">
        <v>0</v>
      </c>
      <c r="M94" s="122">
        <v>0</v>
      </c>
      <c r="N94" s="123">
        <v>0</v>
      </c>
      <c r="O94" s="298">
        <v>0</v>
      </c>
      <c r="P94" s="298">
        <v>0</v>
      </c>
      <c r="Q94" s="122">
        <v>0</v>
      </c>
      <c r="R94" s="123">
        <v>0</v>
      </c>
      <c r="S94" s="298">
        <v>0</v>
      </c>
      <c r="T94" s="124">
        <f>4*12*Faktory!D$7 * 1.35</f>
        <v>88970.400000000009</v>
      </c>
    </row>
    <row r="95" spans="1:20" outlineLevel="2" x14ac:dyDescent="0.25">
      <c r="A95" s="819"/>
      <c r="B95" s="820"/>
      <c r="C95" s="820"/>
      <c r="D95" s="68" t="s">
        <v>31</v>
      </c>
      <c r="E95" s="72">
        <f t="shared" si="9"/>
        <v>88970.400000000009</v>
      </c>
      <c r="F95" s="122">
        <v>0</v>
      </c>
      <c r="G95" s="123">
        <v>0</v>
      </c>
      <c r="H95" s="298">
        <v>0</v>
      </c>
      <c r="I95" s="298">
        <v>0</v>
      </c>
      <c r="J95" s="122">
        <v>0</v>
      </c>
      <c r="K95" s="123">
        <v>0</v>
      </c>
      <c r="L95" s="298">
        <v>0</v>
      </c>
      <c r="M95" s="122">
        <v>0</v>
      </c>
      <c r="N95" s="123">
        <v>0</v>
      </c>
      <c r="O95" s="298">
        <v>0</v>
      </c>
      <c r="P95" s="298">
        <v>0</v>
      </c>
      <c r="Q95" s="122">
        <v>0</v>
      </c>
      <c r="R95" s="123">
        <v>0</v>
      </c>
      <c r="S95" s="298">
        <v>0</v>
      </c>
      <c r="T95" s="124">
        <f>4*12*Faktory!D$7 * 1.35</f>
        <v>88970.400000000009</v>
      </c>
    </row>
    <row r="96" spans="1:20" outlineLevel="2" x14ac:dyDescent="0.25">
      <c r="A96" s="819"/>
      <c r="B96" s="820"/>
      <c r="C96" s="820"/>
      <c r="D96" s="68" t="s">
        <v>32</v>
      </c>
      <c r="E96" s="72">
        <f t="shared" si="9"/>
        <v>88970.400000000009</v>
      </c>
      <c r="F96" s="122">
        <v>0</v>
      </c>
      <c r="G96" s="123">
        <v>0</v>
      </c>
      <c r="H96" s="298">
        <v>0</v>
      </c>
      <c r="I96" s="298">
        <v>0</v>
      </c>
      <c r="J96" s="122">
        <v>0</v>
      </c>
      <c r="K96" s="123">
        <v>0</v>
      </c>
      <c r="L96" s="298">
        <v>0</v>
      </c>
      <c r="M96" s="122">
        <v>0</v>
      </c>
      <c r="N96" s="123">
        <v>0</v>
      </c>
      <c r="O96" s="298">
        <v>0</v>
      </c>
      <c r="P96" s="298">
        <v>0</v>
      </c>
      <c r="Q96" s="122">
        <v>0</v>
      </c>
      <c r="R96" s="123">
        <v>0</v>
      </c>
      <c r="S96" s="298">
        <v>0</v>
      </c>
      <c r="T96" s="124">
        <f>4*12*Faktory!D$7 * 1.35</f>
        <v>88970.400000000009</v>
      </c>
    </row>
    <row r="97" spans="1:20" outlineLevel="2" x14ac:dyDescent="0.25">
      <c r="A97" s="819"/>
      <c r="B97" s="820"/>
      <c r="C97" s="820"/>
      <c r="D97" s="68" t="s">
        <v>33</v>
      </c>
      <c r="E97" s="72">
        <f t="shared" si="9"/>
        <v>88970.400000000009</v>
      </c>
      <c r="F97" s="122">
        <v>0</v>
      </c>
      <c r="G97" s="123">
        <v>0</v>
      </c>
      <c r="H97" s="298">
        <v>0</v>
      </c>
      <c r="I97" s="298">
        <v>0</v>
      </c>
      <c r="J97" s="122">
        <v>0</v>
      </c>
      <c r="K97" s="123">
        <v>0</v>
      </c>
      <c r="L97" s="298">
        <v>0</v>
      </c>
      <c r="M97" s="122">
        <v>0</v>
      </c>
      <c r="N97" s="123">
        <v>0</v>
      </c>
      <c r="O97" s="298">
        <v>0</v>
      </c>
      <c r="P97" s="298">
        <v>0</v>
      </c>
      <c r="Q97" s="122">
        <v>0</v>
      </c>
      <c r="R97" s="123">
        <v>0</v>
      </c>
      <c r="S97" s="298">
        <v>0</v>
      </c>
      <c r="T97" s="124">
        <f>4*12*Faktory!D$7 * 1.35</f>
        <v>88970.400000000009</v>
      </c>
    </row>
    <row r="98" spans="1:20" ht="15.75" outlineLevel="2" thickBot="1" x14ac:dyDescent="0.3">
      <c r="A98" s="819"/>
      <c r="B98" s="820"/>
      <c r="C98" s="820"/>
      <c r="D98" s="69" t="s">
        <v>34</v>
      </c>
      <c r="E98" s="73">
        <f t="shared" si="9"/>
        <v>88970.400000000009</v>
      </c>
      <c r="F98" s="125">
        <v>0</v>
      </c>
      <c r="G98" s="126">
        <v>0</v>
      </c>
      <c r="H98" s="299">
        <v>0</v>
      </c>
      <c r="I98" s="299">
        <v>0</v>
      </c>
      <c r="J98" s="125">
        <v>0</v>
      </c>
      <c r="K98" s="126">
        <v>0</v>
      </c>
      <c r="L98" s="299">
        <v>0</v>
      </c>
      <c r="M98" s="125">
        <v>0</v>
      </c>
      <c r="N98" s="126">
        <v>0</v>
      </c>
      <c r="O98" s="299">
        <v>0</v>
      </c>
      <c r="P98" s="299">
        <v>0</v>
      </c>
      <c r="Q98" s="125">
        <v>0</v>
      </c>
      <c r="R98" s="126">
        <v>0</v>
      </c>
      <c r="S98" s="299">
        <v>0</v>
      </c>
      <c r="T98" s="124">
        <f>4*12*Faktory!D$7 * 1.35</f>
        <v>88970.400000000009</v>
      </c>
    </row>
    <row r="99" spans="1:20" outlineLevel="2" x14ac:dyDescent="0.25">
      <c r="A99" s="819" t="s">
        <v>88</v>
      </c>
      <c r="B99" s="820" t="s">
        <v>76</v>
      </c>
      <c r="C99" s="820">
        <v>718006</v>
      </c>
      <c r="D99" s="67" t="s">
        <v>25</v>
      </c>
      <c r="E99" s="72">
        <f t="shared" si="9"/>
        <v>0</v>
      </c>
      <c r="F99" s="119">
        <v>0</v>
      </c>
      <c r="G99" s="120">
        <v>0</v>
      </c>
      <c r="H99" s="297">
        <v>0</v>
      </c>
      <c r="I99" s="297">
        <v>0</v>
      </c>
      <c r="J99" s="119">
        <v>0</v>
      </c>
      <c r="K99" s="120">
        <v>0</v>
      </c>
      <c r="L99" s="297">
        <v>0</v>
      </c>
      <c r="M99" s="119">
        <v>0</v>
      </c>
      <c r="N99" s="120">
        <v>0</v>
      </c>
      <c r="O99" s="297">
        <v>0</v>
      </c>
      <c r="P99" s="297">
        <v>0</v>
      </c>
      <c r="Q99" s="119">
        <v>0</v>
      </c>
      <c r="R99" s="120">
        <v>0</v>
      </c>
      <c r="S99" s="297">
        <v>0</v>
      </c>
      <c r="T99" s="121">
        <v>0</v>
      </c>
    </row>
    <row r="100" spans="1:20" outlineLevel="2" x14ac:dyDescent="0.25">
      <c r="A100" s="819"/>
      <c r="B100" s="820"/>
      <c r="C100" s="820"/>
      <c r="D100" s="68" t="s">
        <v>26</v>
      </c>
      <c r="E100" s="72">
        <f t="shared" si="9"/>
        <v>0</v>
      </c>
      <c r="F100" s="122">
        <v>0</v>
      </c>
      <c r="G100" s="123">
        <v>0</v>
      </c>
      <c r="H100" s="298">
        <v>0</v>
      </c>
      <c r="I100" s="298">
        <v>0</v>
      </c>
      <c r="J100" s="122">
        <v>0</v>
      </c>
      <c r="K100" s="123">
        <v>0</v>
      </c>
      <c r="L100" s="298">
        <v>0</v>
      </c>
      <c r="M100" s="122">
        <v>0</v>
      </c>
      <c r="N100" s="123">
        <v>0</v>
      </c>
      <c r="O100" s="298">
        <v>0</v>
      </c>
      <c r="P100" s="298">
        <v>0</v>
      </c>
      <c r="Q100" s="122">
        <v>0</v>
      </c>
      <c r="R100" s="123">
        <v>0</v>
      </c>
      <c r="S100" s="298">
        <v>0</v>
      </c>
      <c r="T100" s="124">
        <v>0</v>
      </c>
    </row>
    <row r="101" spans="1:20" outlineLevel="2" x14ac:dyDescent="0.25">
      <c r="A101" s="819"/>
      <c r="B101" s="820"/>
      <c r="C101" s="820"/>
      <c r="D101" s="68" t="s">
        <v>27</v>
      </c>
      <c r="E101" s="72">
        <f t="shared" si="9"/>
        <v>0</v>
      </c>
      <c r="F101" s="122">
        <v>0</v>
      </c>
      <c r="G101" s="123">
        <v>0</v>
      </c>
      <c r="H101" s="298">
        <v>0</v>
      </c>
      <c r="I101" s="298">
        <v>0</v>
      </c>
      <c r="J101" s="122">
        <v>0</v>
      </c>
      <c r="K101" s="123">
        <v>0</v>
      </c>
      <c r="L101" s="298">
        <v>0</v>
      </c>
      <c r="M101" s="122">
        <v>0</v>
      </c>
      <c r="N101" s="123">
        <v>0</v>
      </c>
      <c r="O101" s="298">
        <v>0</v>
      </c>
      <c r="P101" s="298">
        <v>0</v>
      </c>
      <c r="Q101" s="122">
        <v>0</v>
      </c>
      <c r="R101" s="123">
        <v>0</v>
      </c>
      <c r="S101" s="298">
        <v>0</v>
      </c>
      <c r="T101" s="124">
        <v>0</v>
      </c>
    </row>
    <row r="102" spans="1:20" outlineLevel="2" x14ac:dyDescent="0.25">
      <c r="A102" s="819"/>
      <c r="B102" s="820"/>
      <c r="C102" s="820"/>
      <c r="D102" s="68" t="s">
        <v>28</v>
      </c>
      <c r="E102" s="72">
        <f t="shared" si="9"/>
        <v>0</v>
      </c>
      <c r="F102" s="122">
        <v>0</v>
      </c>
      <c r="G102" s="123">
        <v>0</v>
      </c>
      <c r="H102" s="298">
        <v>0</v>
      </c>
      <c r="I102" s="298">
        <v>0</v>
      </c>
      <c r="J102" s="122">
        <v>0</v>
      </c>
      <c r="K102" s="123">
        <v>0</v>
      </c>
      <c r="L102" s="298">
        <v>0</v>
      </c>
      <c r="M102" s="122">
        <v>0</v>
      </c>
      <c r="N102" s="123">
        <v>0</v>
      </c>
      <c r="O102" s="298">
        <v>0</v>
      </c>
      <c r="P102" s="298">
        <v>0</v>
      </c>
      <c r="Q102" s="122">
        <v>0</v>
      </c>
      <c r="R102" s="123">
        <v>0</v>
      </c>
      <c r="S102" s="298">
        <v>0</v>
      </c>
      <c r="T102" s="124">
        <v>0</v>
      </c>
    </row>
    <row r="103" spans="1:20" outlineLevel="2" x14ac:dyDescent="0.25">
      <c r="A103" s="819"/>
      <c r="B103" s="820"/>
      <c r="C103" s="820"/>
      <c r="D103" s="68" t="s">
        <v>29</v>
      </c>
      <c r="E103" s="72">
        <f t="shared" si="9"/>
        <v>0</v>
      </c>
      <c r="F103" s="122">
        <v>0</v>
      </c>
      <c r="G103" s="123">
        <v>0</v>
      </c>
      <c r="H103" s="298">
        <v>0</v>
      </c>
      <c r="I103" s="298">
        <v>0</v>
      </c>
      <c r="J103" s="122">
        <v>0</v>
      </c>
      <c r="K103" s="123">
        <v>0</v>
      </c>
      <c r="L103" s="298">
        <v>0</v>
      </c>
      <c r="M103" s="122">
        <v>0</v>
      </c>
      <c r="N103" s="123">
        <v>0</v>
      </c>
      <c r="O103" s="298">
        <v>0</v>
      </c>
      <c r="P103" s="298">
        <v>0</v>
      </c>
      <c r="Q103" s="122">
        <v>0</v>
      </c>
      <c r="R103" s="123">
        <v>0</v>
      </c>
      <c r="S103" s="298">
        <v>0</v>
      </c>
      <c r="T103" s="124">
        <v>0</v>
      </c>
    </row>
    <row r="104" spans="1:20" outlineLevel="2" x14ac:dyDescent="0.25">
      <c r="A104" s="819"/>
      <c r="B104" s="820"/>
      <c r="C104" s="820"/>
      <c r="D104" s="68" t="s">
        <v>30</v>
      </c>
      <c r="E104" s="72">
        <f t="shared" si="9"/>
        <v>0</v>
      </c>
      <c r="F104" s="122">
        <v>0</v>
      </c>
      <c r="G104" s="123">
        <v>0</v>
      </c>
      <c r="H104" s="298">
        <v>0</v>
      </c>
      <c r="I104" s="298">
        <v>0</v>
      </c>
      <c r="J104" s="122">
        <v>0</v>
      </c>
      <c r="K104" s="123">
        <v>0</v>
      </c>
      <c r="L104" s="298">
        <v>0</v>
      </c>
      <c r="M104" s="122">
        <v>0</v>
      </c>
      <c r="N104" s="123">
        <v>0</v>
      </c>
      <c r="O104" s="298">
        <v>0</v>
      </c>
      <c r="P104" s="298">
        <v>0</v>
      </c>
      <c r="Q104" s="122">
        <v>0</v>
      </c>
      <c r="R104" s="123">
        <v>0</v>
      </c>
      <c r="S104" s="298">
        <v>0</v>
      </c>
      <c r="T104" s="124">
        <v>0</v>
      </c>
    </row>
    <row r="105" spans="1:20" outlineLevel="2" x14ac:dyDescent="0.25">
      <c r="A105" s="819"/>
      <c r="B105" s="820"/>
      <c r="C105" s="820"/>
      <c r="D105" s="68" t="s">
        <v>31</v>
      </c>
      <c r="E105" s="72">
        <f t="shared" si="9"/>
        <v>0</v>
      </c>
      <c r="F105" s="122">
        <v>0</v>
      </c>
      <c r="G105" s="123">
        <v>0</v>
      </c>
      <c r="H105" s="298">
        <v>0</v>
      </c>
      <c r="I105" s="298">
        <v>0</v>
      </c>
      <c r="J105" s="122">
        <v>0</v>
      </c>
      <c r="K105" s="123">
        <v>0</v>
      </c>
      <c r="L105" s="298">
        <v>0</v>
      </c>
      <c r="M105" s="122">
        <v>0</v>
      </c>
      <c r="N105" s="123">
        <v>0</v>
      </c>
      <c r="O105" s="298">
        <v>0</v>
      </c>
      <c r="P105" s="298">
        <v>0</v>
      </c>
      <c r="Q105" s="122">
        <v>0</v>
      </c>
      <c r="R105" s="123">
        <v>0</v>
      </c>
      <c r="S105" s="298">
        <v>0</v>
      </c>
      <c r="T105" s="124">
        <v>0</v>
      </c>
    </row>
    <row r="106" spans="1:20" outlineLevel="2" x14ac:dyDescent="0.25">
      <c r="A106" s="819"/>
      <c r="B106" s="820"/>
      <c r="C106" s="820"/>
      <c r="D106" s="68" t="s">
        <v>32</v>
      </c>
      <c r="E106" s="72">
        <f t="shared" si="9"/>
        <v>0</v>
      </c>
      <c r="F106" s="122">
        <v>0</v>
      </c>
      <c r="G106" s="123">
        <v>0</v>
      </c>
      <c r="H106" s="298">
        <v>0</v>
      </c>
      <c r="I106" s="298">
        <v>0</v>
      </c>
      <c r="J106" s="122">
        <v>0</v>
      </c>
      <c r="K106" s="123">
        <v>0</v>
      </c>
      <c r="L106" s="298">
        <v>0</v>
      </c>
      <c r="M106" s="122">
        <v>0</v>
      </c>
      <c r="N106" s="123">
        <v>0</v>
      </c>
      <c r="O106" s="298">
        <v>0</v>
      </c>
      <c r="P106" s="298">
        <v>0</v>
      </c>
      <c r="Q106" s="122">
        <v>0</v>
      </c>
      <c r="R106" s="123">
        <v>0</v>
      </c>
      <c r="S106" s="298">
        <v>0</v>
      </c>
      <c r="T106" s="124">
        <v>0</v>
      </c>
    </row>
    <row r="107" spans="1:20" outlineLevel="2" x14ac:dyDescent="0.25">
      <c r="A107" s="819"/>
      <c r="B107" s="820"/>
      <c r="C107" s="820"/>
      <c r="D107" s="68" t="s">
        <v>33</v>
      </c>
      <c r="E107" s="72">
        <f t="shared" si="9"/>
        <v>0</v>
      </c>
      <c r="F107" s="122">
        <v>0</v>
      </c>
      <c r="G107" s="123">
        <v>0</v>
      </c>
      <c r="H107" s="298">
        <v>0</v>
      </c>
      <c r="I107" s="298">
        <v>0</v>
      </c>
      <c r="J107" s="122">
        <v>0</v>
      </c>
      <c r="K107" s="123">
        <v>0</v>
      </c>
      <c r="L107" s="298">
        <v>0</v>
      </c>
      <c r="M107" s="122">
        <v>0</v>
      </c>
      <c r="N107" s="123">
        <v>0</v>
      </c>
      <c r="O107" s="298">
        <v>0</v>
      </c>
      <c r="P107" s="298">
        <v>0</v>
      </c>
      <c r="Q107" s="122">
        <v>0</v>
      </c>
      <c r="R107" s="123">
        <v>0</v>
      </c>
      <c r="S107" s="298">
        <v>0</v>
      </c>
      <c r="T107" s="124">
        <v>0</v>
      </c>
    </row>
    <row r="108" spans="1:20" ht="15.75" outlineLevel="2" thickBot="1" x14ac:dyDescent="0.3">
      <c r="A108" s="819"/>
      <c r="B108" s="820"/>
      <c r="C108" s="820"/>
      <c r="D108" s="69" t="s">
        <v>34</v>
      </c>
      <c r="E108" s="73">
        <f t="shared" si="9"/>
        <v>0</v>
      </c>
      <c r="F108" s="125">
        <v>0</v>
      </c>
      <c r="G108" s="126">
        <v>0</v>
      </c>
      <c r="H108" s="299">
        <v>0</v>
      </c>
      <c r="I108" s="299">
        <v>0</v>
      </c>
      <c r="J108" s="125">
        <v>0</v>
      </c>
      <c r="K108" s="126">
        <v>0</v>
      </c>
      <c r="L108" s="299">
        <v>0</v>
      </c>
      <c r="M108" s="125">
        <v>0</v>
      </c>
      <c r="N108" s="126">
        <v>0</v>
      </c>
      <c r="O108" s="299">
        <v>0</v>
      </c>
      <c r="P108" s="299">
        <v>0</v>
      </c>
      <c r="Q108" s="125">
        <v>0</v>
      </c>
      <c r="R108" s="126">
        <v>0</v>
      </c>
      <c r="S108" s="299">
        <v>0</v>
      </c>
      <c r="T108" s="127">
        <v>0</v>
      </c>
    </row>
    <row r="109" spans="1:20" outlineLevel="2" x14ac:dyDescent="0.25">
      <c r="A109" s="819" t="s">
        <v>89</v>
      </c>
      <c r="B109" s="820" t="s">
        <v>90</v>
      </c>
      <c r="C109" s="820">
        <v>610</v>
      </c>
      <c r="D109" s="67" t="s">
        <v>25</v>
      </c>
      <c r="E109" s="72">
        <f t="shared" si="9"/>
        <v>0</v>
      </c>
      <c r="F109" s="119">
        <v>0</v>
      </c>
      <c r="G109" s="120">
        <v>0</v>
      </c>
      <c r="H109" s="297">
        <v>0</v>
      </c>
      <c r="I109" s="297">
        <v>0</v>
      </c>
      <c r="J109" s="119">
        <v>0</v>
      </c>
      <c r="K109" s="120">
        <v>0</v>
      </c>
      <c r="L109" s="297">
        <v>0</v>
      </c>
      <c r="M109" s="119">
        <v>0</v>
      </c>
      <c r="N109" s="120">
        <v>0</v>
      </c>
      <c r="O109" s="297">
        <v>0</v>
      </c>
      <c r="P109" s="297">
        <v>0</v>
      </c>
      <c r="Q109" s="119">
        <v>0</v>
      </c>
      <c r="R109" s="120">
        <v>0</v>
      </c>
      <c r="S109" s="297">
        <v>0</v>
      </c>
      <c r="T109" s="121">
        <v>0</v>
      </c>
    </row>
    <row r="110" spans="1:20" outlineLevel="2" x14ac:dyDescent="0.25">
      <c r="A110" s="819"/>
      <c r="B110" s="820"/>
      <c r="C110" s="820"/>
      <c r="D110" s="68" t="s">
        <v>26</v>
      </c>
      <c r="E110" s="72">
        <f t="shared" si="9"/>
        <v>0</v>
      </c>
      <c r="F110" s="122">
        <v>0</v>
      </c>
      <c r="G110" s="123">
        <v>0</v>
      </c>
      <c r="H110" s="298">
        <v>0</v>
      </c>
      <c r="I110" s="298">
        <v>0</v>
      </c>
      <c r="J110" s="122">
        <v>0</v>
      </c>
      <c r="K110" s="123">
        <v>0</v>
      </c>
      <c r="L110" s="298">
        <v>0</v>
      </c>
      <c r="M110" s="122">
        <v>0</v>
      </c>
      <c r="N110" s="123">
        <v>0</v>
      </c>
      <c r="O110" s="298">
        <v>0</v>
      </c>
      <c r="P110" s="298">
        <v>0</v>
      </c>
      <c r="Q110" s="122">
        <v>0</v>
      </c>
      <c r="R110" s="123">
        <v>0</v>
      </c>
      <c r="S110" s="298">
        <v>0</v>
      </c>
      <c r="T110" s="124">
        <v>0</v>
      </c>
    </row>
    <row r="111" spans="1:20" outlineLevel="2" x14ac:dyDescent="0.25">
      <c r="A111" s="819"/>
      <c r="B111" s="820"/>
      <c r="C111" s="820"/>
      <c r="D111" s="68" t="s">
        <v>27</v>
      </c>
      <c r="E111" s="72">
        <f t="shared" ref="E111:E128" si="11">SUM(F111:T111)</f>
        <v>311396.40000000002</v>
      </c>
      <c r="F111" s="122">
        <v>0</v>
      </c>
      <c r="G111" s="123">
        <v>0</v>
      </c>
      <c r="H111" s="298">
        <v>0</v>
      </c>
      <c r="I111" s="298">
        <v>0</v>
      </c>
      <c r="J111" s="122">
        <v>0</v>
      </c>
      <c r="K111" s="123">
        <v>0</v>
      </c>
      <c r="L111" s="298">
        <v>0</v>
      </c>
      <c r="M111" s="122">
        <v>0</v>
      </c>
      <c r="N111" s="123">
        <v>0</v>
      </c>
      <c r="O111" s="298">
        <v>0</v>
      </c>
      <c r="P111" s="298">
        <v>0</v>
      </c>
      <c r="Q111" s="122">
        <v>0</v>
      </c>
      <c r="R111" s="123">
        <v>0</v>
      </c>
      <c r="S111" s="298">
        <f>14*12*Faktory!D$7 * 1.35</f>
        <v>311396.40000000002</v>
      </c>
      <c r="T111" s="124">
        <v>0</v>
      </c>
    </row>
    <row r="112" spans="1:20" outlineLevel="2" x14ac:dyDescent="0.25">
      <c r="A112" s="819"/>
      <c r="B112" s="820"/>
      <c r="C112" s="820"/>
      <c r="D112" s="68" t="s">
        <v>28</v>
      </c>
      <c r="E112" s="72">
        <f t="shared" si="11"/>
        <v>311396.40000000002</v>
      </c>
      <c r="F112" s="122">
        <v>0</v>
      </c>
      <c r="G112" s="123">
        <v>0</v>
      </c>
      <c r="H112" s="298">
        <v>0</v>
      </c>
      <c r="I112" s="298">
        <v>0</v>
      </c>
      <c r="J112" s="122">
        <v>0</v>
      </c>
      <c r="K112" s="123">
        <v>0</v>
      </c>
      <c r="L112" s="298">
        <v>0</v>
      </c>
      <c r="M112" s="122">
        <v>0</v>
      </c>
      <c r="N112" s="123">
        <v>0</v>
      </c>
      <c r="O112" s="298">
        <v>0</v>
      </c>
      <c r="P112" s="298">
        <v>0</v>
      </c>
      <c r="Q112" s="122">
        <v>0</v>
      </c>
      <c r="R112" s="123">
        <v>0</v>
      </c>
      <c r="S112" s="298">
        <f>14*12*Faktory!D$7 * 1.35</f>
        <v>311396.40000000002</v>
      </c>
      <c r="T112" s="124">
        <v>0</v>
      </c>
    </row>
    <row r="113" spans="1:20" outlineLevel="2" x14ac:dyDescent="0.25">
      <c r="A113" s="819"/>
      <c r="B113" s="820"/>
      <c r="C113" s="820"/>
      <c r="D113" s="68" t="s">
        <v>29</v>
      </c>
      <c r="E113" s="72">
        <f t="shared" si="11"/>
        <v>311396.40000000002</v>
      </c>
      <c r="F113" s="122">
        <v>0</v>
      </c>
      <c r="G113" s="123">
        <v>0</v>
      </c>
      <c r="H113" s="298">
        <v>0</v>
      </c>
      <c r="I113" s="298">
        <v>0</v>
      </c>
      <c r="J113" s="122">
        <v>0</v>
      </c>
      <c r="K113" s="123">
        <v>0</v>
      </c>
      <c r="L113" s="298">
        <v>0</v>
      </c>
      <c r="M113" s="122">
        <v>0</v>
      </c>
      <c r="N113" s="123">
        <v>0</v>
      </c>
      <c r="O113" s="298">
        <v>0</v>
      </c>
      <c r="P113" s="298">
        <v>0</v>
      </c>
      <c r="Q113" s="122">
        <v>0</v>
      </c>
      <c r="R113" s="123">
        <v>0</v>
      </c>
      <c r="S113" s="298">
        <f>14*12*Faktory!D$7 * 1.35</f>
        <v>311396.40000000002</v>
      </c>
      <c r="T113" s="124">
        <v>0</v>
      </c>
    </row>
    <row r="114" spans="1:20" outlineLevel="2" x14ac:dyDescent="0.25">
      <c r="A114" s="819"/>
      <c r="B114" s="820"/>
      <c r="C114" s="820"/>
      <c r="D114" s="68" t="s">
        <v>30</v>
      </c>
      <c r="E114" s="72">
        <f t="shared" si="11"/>
        <v>311396.40000000002</v>
      </c>
      <c r="F114" s="122">
        <v>0</v>
      </c>
      <c r="G114" s="123">
        <v>0</v>
      </c>
      <c r="H114" s="298">
        <v>0</v>
      </c>
      <c r="I114" s="298">
        <v>0</v>
      </c>
      <c r="J114" s="122">
        <v>0</v>
      </c>
      <c r="K114" s="123">
        <v>0</v>
      </c>
      <c r="L114" s="298">
        <v>0</v>
      </c>
      <c r="M114" s="122">
        <v>0</v>
      </c>
      <c r="N114" s="123">
        <v>0</v>
      </c>
      <c r="O114" s="298">
        <v>0</v>
      </c>
      <c r="P114" s="298">
        <v>0</v>
      </c>
      <c r="Q114" s="122">
        <v>0</v>
      </c>
      <c r="R114" s="123">
        <v>0</v>
      </c>
      <c r="S114" s="298">
        <f>14*12*Faktory!D$7 * 1.35</f>
        <v>311396.40000000002</v>
      </c>
      <c r="T114" s="124">
        <v>0</v>
      </c>
    </row>
    <row r="115" spans="1:20" outlineLevel="2" x14ac:dyDescent="0.25">
      <c r="A115" s="819"/>
      <c r="B115" s="820"/>
      <c r="C115" s="820"/>
      <c r="D115" s="68" t="s">
        <v>31</v>
      </c>
      <c r="E115" s="72">
        <f t="shared" si="11"/>
        <v>311396.40000000002</v>
      </c>
      <c r="F115" s="122">
        <v>0</v>
      </c>
      <c r="G115" s="123">
        <v>0</v>
      </c>
      <c r="H115" s="298">
        <v>0</v>
      </c>
      <c r="I115" s="298">
        <v>0</v>
      </c>
      <c r="J115" s="122">
        <v>0</v>
      </c>
      <c r="K115" s="123">
        <v>0</v>
      </c>
      <c r="L115" s="298">
        <v>0</v>
      </c>
      <c r="M115" s="122">
        <v>0</v>
      </c>
      <c r="N115" s="123">
        <v>0</v>
      </c>
      <c r="O115" s="298">
        <v>0</v>
      </c>
      <c r="P115" s="298">
        <v>0</v>
      </c>
      <c r="Q115" s="122">
        <v>0</v>
      </c>
      <c r="R115" s="123">
        <v>0</v>
      </c>
      <c r="S115" s="298">
        <f>14*12*Faktory!D$7 * 1.35</f>
        <v>311396.40000000002</v>
      </c>
      <c r="T115" s="124">
        <v>0</v>
      </c>
    </row>
    <row r="116" spans="1:20" outlineLevel="2" x14ac:dyDescent="0.25">
      <c r="A116" s="819"/>
      <c r="B116" s="820"/>
      <c r="C116" s="820"/>
      <c r="D116" s="68" t="s">
        <v>32</v>
      </c>
      <c r="E116" s="72">
        <f t="shared" si="11"/>
        <v>311396.40000000002</v>
      </c>
      <c r="F116" s="122">
        <v>0</v>
      </c>
      <c r="G116" s="123">
        <v>0</v>
      </c>
      <c r="H116" s="298">
        <v>0</v>
      </c>
      <c r="I116" s="298">
        <v>0</v>
      </c>
      <c r="J116" s="122">
        <v>0</v>
      </c>
      <c r="K116" s="123">
        <v>0</v>
      </c>
      <c r="L116" s="298">
        <v>0</v>
      </c>
      <c r="M116" s="122">
        <v>0</v>
      </c>
      <c r="N116" s="123">
        <v>0</v>
      </c>
      <c r="O116" s="298">
        <v>0</v>
      </c>
      <c r="P116" s="298">
        <v>0</v>
      </c>
      <c r="Q116" s="122">
        <v>0</v>
      </c>
      <c r="R116" s="123">
        <v>0</v>
      </c>
      <c r="S116" s="298">
        <f>14*12*Faktory!D$7 * 1.35</f>
        <v>311396.40000000002</v>
      </c>
      <c r="T116" s="124">
        <v>0</v>
      </c>
    </row>
    <row r="117" spans="1:20" outlineLevel="2" x14ac:dyDescent="0.25">
      <c r="A117" s="819"/>
      <c r="B117" s="820"/>
      <c r="C117" s="820"/>
      <c r="D117" s="68" t="s">
        <v>33</v>
      </c>
      <c r="E117" s="72">
        <f t="shared" si="11"/>
        <v>311396.40000000002</v>
      </c>
      <c r="F117" s="122">
        <v>0</v>
      </c>
      <c r="G117" s="123">
        <v>0</v>
      </c>
      <c r="H117" s="298">
        <v>0</v>
      </c>
      <c r="I117" s="298">
        <v>0</v>
      </c>
      <c r="J117" s="122">
        <v>0</v>
      </c>
      <c r="K117" s="123">
        <v>0</v>
      </c>
      <c r="L117" s="298">
        <v>0</v>
      </c>
      <c r="M117" s="122">
        <v>0</v>
      </c>
      <c r="N117" s="123">
        <v>0</v>
      </c>
      <c r="O117" s="298">
        <v>0</v>
      </c>
      <c r="P117" s="298">
        <v>0</v>
      </c>
      <c r="Q117" s="122">
        <v>0</v>
      </c>
      <c r="R117" s="123">
        <v>0</v>
      </c>
      <c r="S117" s="298">
        <f>14*12*Faktory!D$7 * 1.35</f>
        <v>311396.40000000002</v>
      </c>
      <c r="T117" s="124">
        <v>0</v>
      </c>
    </row>
    <row r="118" spans="1:20" ht="15.75" outlineLevel="2" thickBot="1" x14ac:dyDescent="0.3">
      <c r="A118" s="819"/>
      <c r="B118" s="820"/>
      <c r="C118" s="820"/>
      <c r="D118" s="69" t="s">
        <v>34</v>
      </c>
      <c r="E118" s="73">
        <f t="shared" si="11"/>
        <v>311396.40000000002</v>
      </c>
      <c r="F118" s="125">
        <v>0</v>
      </c>
      <c r="G118" s="126">
        <v>0</v>
      </c>
      <c r="H118" s="299">
        <v>0</v>
      </c>
      <c r="I118" s="299">
        <v>0</v>
      </c>
      <c r="J118" s="125">
        <v>0</v>
      </c>
      <c r="K118" s="126">
        <v>0</v>
      </c>
      <c r="L118" s="299">
        <v>0</v>
      </c>
      <c r="M118" s="125">
        <v>0</v>
      </c>
      <c r="N118" s="126">
        <v>0</v>
      </c>
      <c r="O118" s="299">
        <v>0</v>
      </c>
      <c r="P118" s="299">
        <v>0</v>
      </c>
      <c r="Q118" s="125">
        <v>0</v>
      </c>
      <c r="R118" s="126">
        <v>0</v>
      </c>
      <c r="S118" s="298">
        <f>14*12*Faktory!D$7 * 1.35</f>
        <v>311396.40000000002</v>
      </c>
      <c r="T118" s="127">
        <v>0</v>
      </c>
    </row>
    <row r="119" spans="1:20" outlineLevel="2" x14ac:dyDescent="0.25">
      <c r="A119" s="819" t="s">
        <v>80</v>
      </c>
      <c r="B119" s="820" t="s">
        <v>81</v>
      </c>
      <c r="C119" s="820">
        <v>637001</v>
      </c>
      <c r="D119" s="67" t="s">
        <v>25</v>
      </c>
      <c r="E119" s="72">
        <f t="shared" si="11"/>
        <v>0</v>
      </c>
      <c r="F119" s="119">
        <v>0</v>
      </c>
      <c r="G119" s="120">
        <v>0</v>
      </c>
      <c r="H119" s="297">
        <v>0</v>
      </c>
      <c r="I119" s="297">
        <v>0</v>
      </c>
      <c r="J119" s="119">
        <v>0</v>
      </c>
      <c r="K119" s="120">
        <v>0</v>
      </c>
      <c r="L119" s="297">
        <v>0</v>
      </c>
      <c r="M119" s="119">
        <v>0</v>
      </c>
      <c r="N119" s="120">
        <v>0</v>
      </c>
      <c r="O119" s="297">
        <v>0</v>
      </c>
      <c r="P119" s="297">
        <v>0</v>
      </c>
      <c r="Q119" s="119">
        <v>0</v>
      </c>
      <c r="R119" s="120">
        <v>0</v>
      </c>
      <c r="S119" s="297">
        <v>0</v>
      </c>
      <c r="T119" s="121">
        <v>0</v>
      </c>
    </row>
    <row r="120" spans="1:20" outlineLevel="2" x14ac:dyDescent="0.25">
      <c r="A120" s="819"/>
      <c r="B120" s="820"/>
      <c r="C120" s="820"/>
      <c r="D120" s="68" t="s">
        <v>26</v>
      </c>
      <c r="E120" s="72">
        <f t="shared" si="11"/>
        <v>0</v>
      </c>
      <c r="F120" s="122">
        <v>0</v>
      </c>
      <c r="G120" s="123">
        <v>0</v>
      </c>
      <c r="H120" s="298">
        <v>0</v>
      </c>
      <c r="I120" s="298">
        <v>0</v>
      </c>
      <c r="J120" s="122">
        <v>0</v>
      </c>
      <c r="K120" s="123">
        <v>0</v>
      </c>
      <c r="L120" s="298">
        <v>0</v>
      </c>
      <c r="M120" s="122">
        <v>0</v>
      </c>
      <c r="N120" s="123">
        <v>0</v>
      </c>
      <c r="O120" s="298">
        <v>0</v>
      </c>
      <c r="P120" s="298">
        <v>0</v>
      </c>
      <c r="Q120" s="122">
        <v>0</v>
      </c>
      <c r="R120" s="123">
        <v>0</v>
      </c>
      <c r="S120" s="298">
        <v>0</v>
      </c>
      <c r="T120" s="124">
        <v>0</v>
      </c>
    </row>
    <row r="121" spans="1:20" outlineLevel="2" x14ac:dyDescent="0.25">
      <c r="A121" s="819"/>
      <c r="B121" s="820"/>
      <c r="C121" s="820"/>
      <c r="D121" s="68" t="s">
        <v>27</v>
      </c>
      <c r="E121" s="72">
        <f t="shared" si="11"/>
        <v>0</v>
      </c>
      <c r="F121" s="122">
        <v>0</v>
      </c>
      <c r="G121" s="123">
        <v>0</v>
      </c>
      <c r="H121" s="298">
        <v>0</v>
      </c>
      <c r="I121" s="298">
        <v>0</v>
      </c>
      <c r="J121" s="122">
        <v>0</v>
      </c>
      <c r="K121" s="123">
        <v>0</v>
      </c>
      <c r="L121" s="298">
        <v>0</v>
      </c>
      <c r="M121" s="122">
        <v>0</v>
      </c>
      <c r="N121" s="123">
        <v>0</v>
      </c>
      <c r="O121" s="298">
        <v>0</v>
      </c>
      <c r="P121" s="298">
        <v>0</v>
      </c>
      <c r="Q121" s="122">
        <v>0</v>
      </c>
      <c r="R121" s="123">
        <v>0</v>
      </c>
      <c r="S121" s="298">
        <v>0</v>
      </c>
      <c r="T121" s="124">
        <v>0</v>
      </c>
    </row>
    <row r="122" spans="1:20" outlineLevel="2" x14ac:dyDescent="0.25">
      <c r="A122" s="819"/>
      <c r="B122" s="820"/>
      <c r="C122" s="820"/>
      <c r="D122" s="68" t="s">
        <v>28</v>
      </c>
      <c r="E122" s="72">
        <f t="shared" si="11"/>
        <v>0</v>
      </c>
      <c r="F122" s="122">
        <v>0</v>
      </c>
      <c r="G122" s="123">
        <v>0</v>
      </c>
      <c r="H122" s="298">
        <v>0</v>
      </c>
      <c r="I122" s="298">
        <v>0</v>
      </c>
      <c r="J122" s="122">
        <v>0</v>
      </c>
      <c r="K122" s="123">
        <v>0</v>
      </c>
      <c r="L122" s="298">
        <v>0</v>
      </c>
      <c r="M122" s="122">
        <v>0</v>
      </c>
      <c r="N122" s="123">
        <v>0</v>
      </c>
      <c r="O122" s="298">
        <v>0</v>
      </c>
      <c r="P122" s="298">
        <v>0</v>
      </c>
      <c r="Q122" s="122">
        <v>0</v>
      </c>
      <c r="R122" s="123">
        <v>0</v>
      </c>
      <c r="S122" s="298">
        <v>0</v>
      </c>
      <c r="T122" s="124">
        <v>0</v>
      </c>
    </row>
    <row r="123" spans="1:20" outlineLevel="2" x14ac:dyDescent="0.25">
      <c r="A123" s="819"/>
      <c r="B123" s="820"/>
      <c r="C123" s="820"/>
      <c r="D123" s="68" t="s">
        <v>29</v>
      </c>
      <c r="E123" s="72">
        <f t="shared" si="11"/>
        <v>0</v>
      </c>
      <c r="F123" s="122">
        <v>0</v>
      </c>
      <c r="G123" s="123">
        <v>0</v>
      </c>
      <c r="H123" s="298">
        <v>0</v>
      </c>
      <c r="I123" s="298">
        <v>0</v>
      </c>
      <c r="J123" s="122">
        <v>0</v>
      </c>
      <c r="K123" s="123">
        <v>0</v>
      </c>
      <c r="L123" s="298">
        <v>0</v>
      </c>
      <c r="M123" s="122">
        <v>0</v>
      </c>
      <c r="N123" s="123">
        <v>0</v>
      </c>
      <c r="O123" s="298">
        <v>0</v>
      </c>
      <c r="P123" s="298">
        <v>0</v>
      </c>
      <c r="Q123" s="122">
        <v>0</v>
      </c>
      <c r="R123" s="123">
        <v>0</v>
      </c>
      <c r="S123" s="298">
        <v>0</v>
      </c>
      <c r="T123" s="124">
        <v>0</v>
      </c>
    </row>
    <row r="124" spans="1:20" outlineLevel="2" x14ac:dyDescent="0.25">
      <c r="A124" s="819"/>
      <c r="B124" s="820"/>
      <c r="C124" s="820"/>
      <c r="D124" s="68" t="s">
        <v>30</v>
      </c>
      <c r="E124" s="72">
        <f t="shared" si="11"/>
        <v>0</v>
      </c>
      <c r="F124" s="122">
        <v>0</v>
      </c>
      <c r="G124" s="123">
        <v>0</v>
      </c>
      <c r="H124" s="298">
        <v>0</v>
      </c>
      <c r="I124" s="298">
        <v>0</v>
      </c>
      <c r="J124" s="122">
        <v>0</v>
      </c>
      <c r="K124" s="123">
        <v>0</v>
      </c>
      <c r="L124" s="298">
        <v>0</v>
      </c>
      <c r="M124" s="122">
        <v>0</v>
      </c>
      <c r="N124" s="123">
        <v>0</v>
      </c>
      <c r="O124" s="298">
        <v>0</v>
      </c>
      <c r="P124" s="298">
        <v>0</v>
      </c>
      <c r="Q124" s="122">
        <v>0</v>
      </c>
      <c r="R124" s="123">
        <v>0</v>
      </c>
      <c r="S124" s="298">
        <v>0</v>
      </c>
      <c r="T124" s="124">
        <v>0</v>
      </c>
    </row>
    <row r="125" spans="1:20" outlineLevel="2" x14ac:dyDescent="0.25">
      <c r="A125" s="819"/>
      <c r="B125" s="820"/>
      <c r="C125" s="820"/>
      <c r="D125" s="68" t="s">
        <v>31</v>
      </c>
      <c r="E125" s="72">
        <f t="shared" si="11"/>
        <v>0</v>
      </c>
      <c r="F125" s="122">
        <v>0</v>
      </c>
      <c r="G125" s="123">
        <v>0</v>
      </c>
      <c r="H125" s="298">
        <v>0</v>
      </c>
      <c r="I125" s="298">
        <v>0</v>
      </c>
      <c r="J125" s="122">
        <v>0</v>
      </c>
      <c r="K125" s="123">
        <v>0</v>
      </c>
      <c r="L125" s="298">
        <v>0</v>
      </c>
      <c r="M125" s="122">
        <v>0</v>
      </c>
      <c r="N125" s="123">
        <v>0</v>
      </c>
      <c r="O125" s="298">
        <v>0</v>
      </c>
      <c r="P125" s="298">
        <v>0</v>
      </c>
      <c r="Q125" s="122">
        <v>0</v>
      </c>
      <c r="R125" s="123">
        <v>0</v>
      </c>
      <c r="S125" s="298">
        <v>0</v>
      </c>
      <c r="T125" s="124">
        <v>0</v>
      </c>
    </row>
    <row r="126" spans="1:20" outlineLevel="2" x14ac:dyDescent="0.25">
      <c r="A126" s="819"/>
      <c r="B126" s="820"/>
      <c r="C126" s="820"/>
      <c r="D126" s="68" t="s">
        <v>32</v>
      </c>
      <c r="E126" s="72">
        <f t="shared" si="11"/>
        <v>0</v>
      </c>
      <c r="F126" s="122">
        <v>0</v>
      </c>
      <c r="G126" s="123">
        <v>0</v>
      </c>
      <c r="H126" s="298">
        <v>0</v>
      </c>
      <c r="I126" s="298">
        <v>0</v>
      </c>
      <c r="J126" s="122">
        <v>0</v>
      </c>
      <c r="K126" s="123">
        <v>0</v>
      </c>
      <c r="L126" s="298">
        <v>0</v>
      </c>
      <c r="M126" s="122">
        <v>0</v>
      </c>
      <c r="N126" s="123">
        <v>0</v>
      </c>
      <c r="O126" s="298">
        <v>0</v>
      </c>
      <c r="P126" s="298">
        <v>0</v>
      </c>
      <c r="Q126" s="122">
        <v>0</v>
      </c>
      <c r="R126" s="123">
        <v>0</v>
      </c>
      <c r="S126" s="298">
        <v>0</v>
      </c>
      <c r="T126" s="124">
        <v>0</v>
      </c>
    </row>
    <row r="127" spans="1:20" outlineLevel="2" x14ac:dyDescent="0.25">
      <c r="A127" s="819"/>
      <c r="B127" s="820"/>
      <c r="C127" s="820"/>
      <c r="D127" s="68" t="s">
        <v>33</v>
      </c>
      <c r="E127" s="72">
        <f t="shared" si="11"/>
        <v>0</v>
      </c>
      <c r="F127" s="122">
        <v>0</v>
      </c>
      <c r="G127" s="123">
        <v>0</v>
      </c>
      <c r="H127" s="298">
        <v>0</v>
      </c>
      <c r="I127" s="298">
        <v>0</v>
      </c>
      <c r="J127" s="122">
        <v>0</v>
      </c>
      <c r="K127" s="123">
        <v>0</v>
      </c>
      <c r="L127" s="298">
        <v>0</v>
      </c>
      <c r="M127" s="122">
        <v>0</v>
      </c>
      <c r="N127" s="123">
        <v>0</v>
      </c>
      <c r="O127" s="298">
        <v>0</v>
      </c>
      <c r="P127" s="298">
        <v>0</v>
      </c>
      <c r="Q127" s="122">
        <v>0</v>
      </c>
      <c r="R127" s="123">
        <v>0</v>
      </c>
      <c r="S127" s="298">
        <v>0</v>
      </c>
      <c r="T127" s="124">
        <v>0</v>
      </c>
    </row>
    <row r="128" spans="1:20" ht="15.75" outlineLevel="2" thickBot="1" x14ac:dyDescent="0.3">
      <c r="A128" s="819"/>
      <c r="B128" s="820"/>
      <c r="C128" s="820"/>
      <c r="D128" s="69" t="s">
        <v>34</v>
      </c>
      <c r="E128" s="73">
        <f t="shared" si="11"/>
        <v>0</v>
      </c>
      <c r="F128" s="125">
        <v>0</v>
      </c>
      <c r="G128" s="126">
        <v>0</v>
      </c>
      <c r="H128" s="299">
        <v>0</v>
      </c>
      <c r="I128" s="299">
        <v>0</v>
      </c>
      <c r="J128" s="125">
        <v>0</v>
      </c>
      <c r="K128" s="126">
        <v>0</v>
      </c>
      <c r="L128" s="299">
        <v>0</v>
      </c>
      <c r="M128" s="125">
        <v>0</v>
      </c>
      <c r="N128" s="126">
        <v>0</v>
      </c>
      <c r="O128" s="299">
        <v>0</v>
      </c>
      <c r="P128" s="299">
        <v>0</v>
      </c>
      <c r="Q128" s="125">
        <v>0</v>
      </c>
      <c r="R128" s="126">
        <v>0</v>
      </c>
      <c r="S128" s="299">
        <v>0</v>
      </c>
      <c r="T128" s="127">
        <v>0</v>
      </c>
    </row>
    <row r="129" spans="1:20" ht="15.75" thickBot="1" x14ac:dyDescent="0.3">
      <c r="A129" s="17" t="s">
        <v>322</v>
      </c>
      <c r="B129" s="17"/>
      <c r="C129" s="17"/>
      <c r="D129" s="28"/>
      <c r="E129" s="139">
        <f t="shared" ref="E129:T129" si="12">SUM(E130:E149)</f>
        <v>1187900</v>
      </c>
      <c r="F129" s="140">
        <f t="shared" si="12"/>
        <v>678900</v>
      </c>
      <c r="G129" s="140">
        <f t="shared" si="12"/>
        <v>509000</v>
      </c>
      <c r="H129" s="301">
        <f t="shared" si="12"/>
        <v>0</v>
      </c>
      <c r="I129" s="301">
        <f t="shared" si="12"/>
        <v>0</v>
      </c>
      <c r="J129" s="140">
        <f t="shared" si="12"/>
        <v>0</v>
      </c>
      <c r="K129" s="140">
        <f t="shared" si="12"/>
        <v>0</v>
      </c>
      <c r="L129" s="301">
        <f t="shared" si="12"/>
        <v>0</v>
      </c>
      <c r="M129" s="140">
        <f t="shared" si="12"/>
        <v>0</v>
      </c>
      <c r="N129" s="140">
        <f t="shared" si="12"/>
        <v>0</v>
      </c>
      <c r="O129" s="301">
        <f t="shared" si="12"/>
        <v>0</v>
      </c>
      <c r="P129" s="301">
        <f t="shared" si="12"/>
        <v>0</v>
      </c>
      <c r="Q129" s="140">
        <f t="shared" si="12"/>
        <v>0</v>
      </c>
      <c r="R129" s="140">
        <f t="shared" si="12"/>
        <v>0</v>
      </c>
      <c r="S129" s="301">
        <f t="shared" si="12"/>
        <v>0</v>
      </c>
      <c r="T129" s="141">
        <f t="shared" si="12"/>
        <v>0</v>
      </c>
    </row>
    <row r="130" spans="1:20" x14ac:dyDescent="0.25">
      <c r="A130" s="819" t="s">
        <v>323</v>
      </c>
      <c r="B130" s="820"/>
      <c r="C130" s="820"/>
      <c r="D130" s="67" t="s">
        <v>25</v>
      </c>
      <c r="E130" s="71">
        <f t="shared" ref="E130:E149" si="13">SUM(F130:T130)</f>
        <v>400000</v>
      </c>
      <c r="F130" s="119">
        <v>200000</v>
      </c>
      <c r="G130" s="119">
        <v>200000</v>
      </c>
      <c r="H130" s="297">
        <v>0</v>
      </c>
      <c r="I130" s="297">
        <v>0</v>
      </c>
      <c r="J130" s="119">
        <v>0</v>
      </c>
      <c r="K130" s="120">
        <v>0</v>
      </c>
      <c r="L130" s="297">
        <v>0</v>
      </c>
      <c r="M130" s="119">
        <v>0</v>
      </c>
      <c r="N130" s="120">
        <v>0</v>
      </c>
      <c r="O130" s="297">
        <v>0</v>
      </c>
      <c r="P130" s="297">
        <v>0</v>
      </c>
      <c r="Q130" s="119">
        <v>0</v>
      </c>
      <c r="R130" s="120">
        <v>0</v>
      </c>
      <c r="S130" s="297">
        <v>0</v>
      </c>
      <c r="T130" s="121">
        <v>0</v>
      </c>
    </row>
    <row r="131" spans="1:20" x14ac:dyDescent="0.25">
      <c r="A131" s="819"/>
      <c r="B131" s="820"/>
      <c r="C131" s="820"/>
      <c r="D131" s="68" t="s">
        <v>26</v>
      </c>
      <c r="E131" s="72">
        <f t="shared" si="13"/>
        <v>400000</v>
      </c>
      <c r="F131" s="122">
        <v>200000</v>
      </c>
      <c r="G131" s="122">
        <v>200000</v>
      </c>
      <c r="H131" s="298">
        <v>0</v>
      </c>
      <c r="I131" s="298">
        <v>0</v>
      </c>
      <c r="J131" s="122">
        <v>0</v>
      </c>
      <c r="K131" s="123">
        <v>0</v>
      </c>
      <c r="L131" s="298">
        <v>0</v>
      </c>
      <c r="M131" s="122">
        <v>0</v>
      </c>
      <c r="N131" s="123">
        <v>0</v>
      </c>
      <c r="O131" s="298">
        <v>0</v>
      </c>
      <c r="P131" s="298">
        <v>0</v>
      </c>
      <c r="Q131" s="122">
        <v>0</v>
      </c>
      <c r="R131" s="123">
        <v>0</v>
      </c>
      <c r="S131" s="298">
        <v>0</v>
      </c>
      <c r="T131" s="124">
        <v>0</v>
      </c>
    </row>
    <row r="132" spans="1:20" x14ac:dyDescent="0.25">
      <c r="A132" s="819"/>
      <c r="B132" s="820"/>
      <c r="C132" s="820"/>
      <c r="D132" s="68" t="s">
        <v>27</v>
      </c>
      <c r="E132" s="72">
        <f t="shared" si="13"/>
        <v>218000</v>
      </c>
      <c r="F132" s="122">
        <v>109000</v>
      </c>
      <c r="G132" s="122">
        <v>109000</v>
      </c>
      <c r="H132" s="298">
        <v>0</v>
      </c>
      <c r="I132" s="298">
        <v>0</v>
      </c>
      <c r="J132" s="122">
        <v>0</v>
      </c>
      <c r="K132" s="123">
        <v>0</v>
      </c>
      <c r="L132" s="298">
        <v>0</v>
      </c>
      <c r="M132" s="122">
        <v>0</v>
      </c>
      <c r="N132" s="123">
        <v>0</v>
      </c>
      <c r="O132" s="298">
        <v>0</v>
      </c>
      <c r="P132" s="298">
        <v>0</v>
      </c>
      <c r="Q132" s="122">
        <v>0</v>
      </c>
      <c r="R132" s="123">
        <v>0</v>
      </c>
      <c r="S132" s="298">
        <v>0</v>
      </c>
      <c r="T132" s="124">
        <v>0</v>
      </c>
    </row>
    <row r="133" spans="1:20" x14ac:dyDescent="0.25">
      <c r="A133" s="819"/>
      <c r="B133" s="820"/>
      <c r="C133" s="820"/>
      <c r="D133" s="68" t="s">
        <v>28</v>
      </c>
      <c r="E133" s="72">
        <f t="shared" si="13"/>
        <v>0</v>
      </c>
      <c r="F133" s="122">
        <v>0</v>
      </c>
      <c r="G133" s="123">
        <v>0</v>
      </c>
      <c r="H133" s="298">
        <v>0</v>
      </c>
      <c r="I133" s="298">
        <v>0</v>
      </c>
      <c r="J133" s="122">
        <v>0</v>
      </c>
      <c r="K133" s="123">
        <v>0</v>
      </c>
      <c r="L133" s="298">
        <v>0</v>
      </c>
      <c r="M133" s="122">
        <v>0</v>
      </c>
      <c r="N133" s="123">
        <v>0</v>
      </c>
      <c r="O133" s="298">
        <v>0</v>
      </c>
      <c r="P133" s="298">
        <v>0</v>
      </c>
      <c r="Q133" s="122">
        <v>0</v>
      </c>
      <c r="R133" s="123">
        <v>0</v>
      </c>
      <c r="S133" s="298">
        <v>0</v>
      </c>
      <c r="T133" s="124">
        <v>0</v>
      </c>
    </row>
    <row r="134" spans="1:20" x14ac:dyDescent="0.25">
      <c r="A134" s="819"/>
      <c r="B134" s="820"/>
      <c r="C134" s="820"/>
      <c r="D134" s="68" t="s">
        <v>29</v>
      </c>
      <c r="E134" s="72">
        <f t="shared" si="13"/>
        <v>0</v>
      </c>
      <c r="F134" s="122">
        <v>0</v>
      </c>
      <c r="G134" s="123">
        <v>0</v>
      </c>
      <c r="H134" s="298">
        <v>0</v>
      </c>
      <c r="I134" s="298">
        <v>0</v>
      </c>
      <c r="J134" s="122">
        <v>0</v>
      </c>
      <c r="K134" s="123">
        <v>0</v>
      </c>
      <c r="L134" s="298">
        <v>0</v>
      </c>
      <c r="M134" s="122">
        <v>0</v>
      </c>
      <c r="N134" s="123">
        <v>0</v>
      </c>
      <c r="O134" s="298">
        <v>0</v>
      </c>
      <c r="P134" s="298">
        <v>0</v>
      </c>
      <c r="Q134" s="122">
        <v>0</v>
      </c>
      <c r="R134" s="123">
        <v>0</v>
      </c>
      <c r="S134" s="298">
        <v>0</v>
      </c>
      <c r="T134" s="124">
        <v>0</v>
      </c>
    </row>
    <row r="135" spans="1:20" x14ac:dyDescent="0.25">
      <c r="A135" s="819"/>
      <c r="B135" s="820"/>
      <c r="C135" s="820"/>
      <c r="D135" s="68" t="s">
        <v>30</v>
      </c>
      <c r="E135" s="72">
        <f t="shared" si="13"/>
        <v>0</v>
      </c>
      <c r="F135" s="122">
        <v>0</v>
      </c>
      <c r="G135" s="123">
        <v>0</v>
      </c>
      <c r="H135" s="298">
        <v>0</v>
      </c>
      <c r="I135" s="298">
        <v>0</v>
      </c>
      <c r="J135" s="122">
        <v>0</v>
      </c>
      <c r="K135" s="123">
        <v>0</v>
      </c>
      <c r="L135" s="298">
        <v>0</v>
      </c>
      <c r="M135" s="122">
        <v>0</v>
      </c>
      <c r="N135" s="123">
        <v>0</v>
      </c>
      <c r="O135" s="298">
        <v>0</v>
      </c>
      <c r="P135" s="298">
        <v>0</v>
      </c>
      <c r="Q135" s="122">
        <v>0</v>
      </c>
      <c r="R135" s="123">
        <v>0</v>
      </c>
      <c r="S135" s="298">
        <v>0</v>
      </c>
      <c r="T135" s="124">
        <v>0</v>
      </c>
    </row>
    <row r="136" spans="1:20" x14ac:dyDescent="0.25">
      <c r="A136" s="819"/>
      <c r="B136" s="820"/>
      <c r="C136" s="820"/>
      <c r="D136" s="68" t="s">
        <v>31</v>
      </c>
      <c r="E136" s="72">
        <f t="shared" si="13"/>
        <v>0</v>
      </c>
      <c r="F136" s="122">
        <v>0</v>
      </c>
      <c r="G136" s="123">
        <v>0</v>
      </c>
      <c r="H136" s="298">
        <v>0</v>
      </c>
      <c r="I136" s="298">
        <v>0</v>
      </c>
      <c r="J136" s="122">
        <v>0</v>
      </c>
      <c r="K136" s="123">
        <v>0</v>
      </c>
      <c r="L136" s="298">
        <v>0</v>
      </c>
      <c r="M136" s="122">
        <v>0</v>
      </c>
      <c r="N136" s="123">
        <v>0</v>
      </c>
      <c r="O136" s="298">
        <v>0</v>
      </c>
      <c r="P136" s="298">
        <v>0</v>
      </c>
      <c r="Q136" s="122">
        <v>0</v>
      </c>
      <c r="R136" s="123">
        <v>0</v>
      </c>
      <c r="S136" s="298">
        <v>0</v>
      </c>
      <c r="T136" s="124">
        <v>0</v>
      </c>
    </row>
    <row r="137" spans="1:20" x14ac:dyDescent="0.25">
      <c r="A137" s="819"/>
      <c r="B137" s="820"/>
      <c r="C137" s="820"/>
      <c r="D137" s="68" t="s">
        <v>32</v>
      </c>
      <c r="E137" s="72">
        <f t="shared" si="13"/>
        <v>0</v>
      </c>
      <c r="F137" s="122">
        <v>0</v>
      </c>
      <c r="G137" s="123">
        <v>0</v>
      </c>
      <c r="H137" s="298">
        <v>0</v>
      </c>
      <c r="I137" s="298">
        <v>0</v>
      </c>
      <c r="J137" s="122">
        <v>0</v>
      </c>
      <c r="K137" s="123">
        <v>0</v>
      </c>
      <c r="L137" s="298">
        <v>0</v>
      </c>
      <c r="M137" s="122">
        <v>0</v>
      </c>
      <c r="N137" s="123">
        <v>0</v>
      </c>
      <c r="O137" s="298">
        <v>0</v>
      </c>
      <c r="P137" s="298">
        <v>0</v>
      </c>
      <c r="Q137" s="122">
        <v>0</v>
      </c>
      <c r="R137" s="123">
        <v>0</v>
      </c>
      <c r="S137" s="298">
        <v>0</v>
      </c>
      <c r="T137" s="124">
        <v>0</v>
      </c>
    </row>
    <row r="138" spans="1:20" x14ac:dyDescent="0.25">
      <c r="A138" s="819"/>
      <c r="B138" s="820"/>
      <c r="C138" s="820"/>
      <c r="D138" s="68" t="s">
        <v>33</v>
      </c>
      <c r="E138" s="72">
        <f t="shared" si="13"/>
        <v>0</v>
      </c>
      <c r="F138" s="122">
        <v>0</v>
      </c>
      <c r="G138" s="123">
        <v>0</v>
      </c>
      <c r="H138" s="298">
        <v>0</v>
      </c>
      <c r="I138" s="298">
        <v>0</v>
      </c>
      <c r="J138" s="122">
        <v>0</v>
      </c>
      <c r="K138" s="123">
        <v>0</v>
      </c>
      <c r="L138" s="298">
        <v>0</v>
      </c>
      <c r="M138" s="122">
        <v>0</v>
      </c>
      <c r="N138" s="123">
        <v>0</v>
      </c>
      <c r="O138" s="298">
        <v>0</v>
      </c>
      <c r="P138" s="298">
        <v>0</v>
      </c>
      <c r="Q138" s="122">
        <v>0</v>
      </c>
      <c r="R138" s="123">
        <v>0</v>
      </c>
      <c r="S138" s="298">
        <v>0</v>
      </c>
      <c r="T138" s="124">
        <v>0</v>
      </c>
    </row>
    <row r="139" spans="1:20" ht="15.75" thickBot="1" x14ac:dyDescent="0.3">
      <c r="A139" s="819"/>
      <c r="B139" s="820"/>
      <c r="C139" s="820"/>
      <c r="D139" s="69" t="s">
        <v>34</v>
      </c>
      <c r="E139" s="73">
        <f t="shared" si="13"/>
        <v>0</v>
      </c>
      <c r="F139" s="125">
        <v>0</v>
      </c>
      <c r="G139" s="126">
        <v>0</v>
      </c>
      <c r="H139" s="299">
        <v>0</v>
      </c>
      <c r="I139" s="299">
        <v>0</v>
      </c>
      <c r="J139" s="125">
        <v>0</v>
      </c>
      <c r="K139" s="126">
        <v>0</v>
      </c>
      <c r="L139" s="299">
        <v>0</v>
      </c>
      <c r="M139" s="125">
        <v>0</v>
      </c>
      <c r="N139" s="126">
        <v>0</v>
      </c>
      <c r="O139" s="299">
        <v>0</v>
      </c>
      <c r="P139" s="299">
        <v>0</v>
      </c>
      <c r="Q139" s="125">
        <v>0</v>
      </c>
      <c r="R139" s="126">
        <v>0</v>
      </c>
      <c r="S139" s="299">
        <v>0</v>
      </c>
      <c r="T139" s="127">
        <v>0</v>
      </c>
    </row>
    <row r="140" spans="1:20" x14ac:dyDescent="0.25">
      <c r="A140" s="819" t="s">
        <v>160</v>
      </c>
      <c r="B140" s="820"/>
      <c r="C140" s="820" t="s">
        <v>348</v>
      </c>
      <c r="D140" s="67" t="s">
        <v>25</v>
      </c>
      <c r="E140" s="72">
        <f t="shared" si="13"/>
        <v>20000</v>
      </c>
      <c r="F140" s="119">
        <v>20000</v>
      </c>
      <c r="G140" s="120">
        <v>0</v>
      </c>
      <c r="H140" s="297">
        <v>0</v>
      </c>
      <c r="I140" s="297">
        <v>0</v>
      </c>
      <c r="J140" s="119">
        <v>0</v>
      </c>
      <c r="K140" s="120">
        <v>0</v>
      </c>
      <c r="L140" s="297">
        <v>0</v>
      </c>
      <c r="M140" s="119">
        <v>0</v>
      </c>
      <c r="N140" s="120">
        <v>0</v>
      </c>
      <c r="O140" s="297">
        <v>0</v>
      </c>
      <c r="P140" s="297">
        <v>0</v>
      </c>
      <c r="Q140" s="119">
        <v>0</v>
      </c>
      <c r="R140" s="120">
        <v>0</v>
      </c>
      <c r="S140" s="297">
        <v>0</v>
      </c>
      <c r="T140" s="121">
        <v>0</v>
      </c>
    </row>
    <row r="141" spans="1:20" x14ac:dyDescent="0.25">
      <c r="A141" s="819"/>
      <c r="B141" s="820"/>
      <c r="C141" s="820"/>
      <c r="D141" s="68" t="s">
        <v>26</v>
      </c>
      <c r="E141" s="72">
        <f t="shared" si="13"/>
        <v>49900</v>
      </c>
      <c r="F141" s="122">
        <v>49900</v>
      </c>
      <c r="G141" s="123">
        <v>0</v>
      </c>
      <c r="H141" s="298">
        <v>0</v>
      </c>
      <c r="I141" s="298">
        <v>0</v>
      </c>
      <c r="J141" s="122">
        <v>0</v>
      </c>
      <c r="K141" s="123">
        <v>0</v>
      </c>
      <c r="L141" s="298">
        <v>0</v>
      </c>
      <c r="M141" s="122">
        <v>0</v>
      </c>
      <c r="N141" s="123">
        <v>0</v>
      </c>
      <c r="O141" s="298">
        <v>0</v>
      </c>
      <c r="P141" s="298">
        <v>0</v>
      </c>
      <c r="Q141" s="122">
        <v>0</v>
      </c>
      <c r="R141" s="123">
        <v>0</v>
      </c>
      <c r="S141" s="298">
        <v>0</v>
      </c>
      <c r="T141" s="124">
        <v>0</v>
      </c>
    </row>
    <row r="142" spans="1:20" x14ac:dyDescent="0.25">
      <c r="A142" s="819"/>
      <c r="B142" s="820"/>
      <c r="C142" s="820"/>
      <c r="D142" s="68" t="s">
        <v>27</v>
      </c>
      <c r="E142" s="72">
        <f t="shared" si="13"/>
        <v>100000</v>
      </c>
      <c r="F142" s="122">
        <v>100000</v>
      </c>
      <c r="G142" s="123">
        <v>0</v>
      </c>
      <c r="H142" s="298">
        <v>0</v>
      </c>
      <c r="I142" s="298">
        <v>0</v>
      </c>
      <c r="J142" s="122">
        <v>0</v>
      </c>
      <c r="K142" s="123">
        <v>0</v>
      </c>
      <c r="L142" s="298">
        <v>0</v>
      </c>
      <c r="M142" s="122">
        <v>0</v>
      </c>
      <c r="N142" s="123">
        <v>0</v>
      </c>
      <c r="O142" s="298">
        <v>0</v>
      </c>
      <c r="P142" s="298">
        <v>0</v>
      </c>
      <c r="Q142" s="122">
        <v>0</v>
      </c>
      <c r="R142" s="123">
        <v>0</v>
      </c>
      <c r="S142" s="298">
        <v>0</v>
      </c>
      <c r="T142" s="124">
        <v>0</v>
      </c>
    </row>
    <row r="143" spans="1:20" x14ac:dyDescent="0.25">
      <c r="A143" s="819"/>
      <c r="B143" s="820"/>
      <c r="C143" s="820"/>
      <c r="D143" s="68" t="s">
        <v>28</v>
      </c>
      <c r="E143" s="72">
        <f t="shared" si="13"/>
        <v>0</v>
      </c>
      <c r="F143" s="122">
        <v>0</v>
      </c>
      <c r="G143" s="123">
        <v>0</v>
      </c>
      <c r="H143" s="298">
        <v>0</v>
      </c>
      <c r="I143" s="298">
        <v>0</v>
      </c>
      <c r="J143" s="122">
        <v>0</v>
      </c>
      <c r="K143" s="123">
        <v>0</v>
      </c>
      <c r="L143" s="298">
        <v>0</v>
      </c>
      <c r="M143" s="122">
        <v>0</v>
      </c>
      <c r="N143" s="123">
        <v>0</v>
      </c>
      <c r="O143" s="298">
        <v>0</v>
      </c>
      <c r="P143" s="298">
        <v>0</v>
      </c>
      <c r="Q143" s="122">
        <v>0</v>
      </c>
      <c r="R143" s="123">
        <v>0</v>
      </c>
      <c r="S143" s="298">
        <v>0</v>
      </c>
      <c r="T143" s="124">
        <v>0</v>
      </c>
    </row>
    <row r="144" spans="1:20" x14ac:dyDescent="0.25">
      <c r="A144" s="819"/>
      <c r="B144" s="820"/>
      <c r="C144" s="820"/>
      <c r="D144" s="68" t="s">
        <v>29</v>
      </c>
      <c r="E144" s="72">
        <f t="shared" si="13"/>
        <v>0</v>
      </c>
      <c r="F144" s="122">
        <v>0</v>
      </c>
      <c r="G144" s="123">
        <v>0</v>
      </c>
      <c r="H144" s="298">
        <v>0</v>
      </c>
      <c r="I144" s="298">
        <v>0</v>
      </c>
      <c r="J144" s="122">
        <v>0</v>
      </c>
      <c r="K144" s="123">
        <v>0</v>
      </c>
      <c r="L144" s="298">
        <v>0</v>
      </c>
      <c r="M144" s="122">
        <v>0</v>
      </c>
      <c r="N144" s="123">
        <v>0</v>
      </c>
      <c r="O144" s="298">
        <v>0</v>
      </c>
      <c r="P144" s="298">
        <v>0</v>
      </c>
      <c r="Q144" s="122">
        <v>0</v>
      </c>
      <c r="R144" s="123">
        <v>0</v>
      </c>
      <c r="S144" s="298">
        <v>0</v>
      </c>
      <c r="T144" s="124">
        <v>0</v>
      </c>
    </row>
    <row r="145" spans="1:20" x14ac:dyDescent="0.25">
      <c r="A145" s="819"/>
      <c r="B145" s="820"/>
      <c r="C145" s="820"/>
      <c r="D145" s="68" t="s">
        <v>30</v>
      </c>
      <c r="E145" s="72">
        <f t="shared" si="13"/>
        <v>0</v>
      </c>
      <c r="F145" s="122">
        <v>0</v>
      </c>
      <c r="G145" s="123">
        <v>0</v>
      </c>
      <c r="H145" s="298">
        <v>0</v>
      </c>
      <c r="I145" s="298">
        <v>0</v>
      </c>
      <c r="J145" s="122">
        <v>0</v>
      </c>
      <c r="K145" s="123">
        <v>0</v>
      </c>
      <c r="L145" s="298">
        <v>0</v>
      </c>
      <c r="M145" s="122">
        <v>0</v>
      </c>
      <c r="N145" s="123">
        <v>0</v>
      </c>
      <c r="O145" s="298">
        <v>0</v>
      </c>
      <c r="P145" s="298">
        <v>0</v>
      </c>
      <c r="Q145" s="122">
        <v>0</v>
      </c>
      <c r="R145" s="123">
        <v>0</v>
      </c>
      <c r="S145" s="298">
        <v>0</v>
      </c>
      <c r="T145" s="124">
        <v>0</v>
      </c>
    </row>
    <row r="146" spans="1:20" x14ac:dyDescent="0.25">
      <c r="A146" s="819"/>
      <c r="B146" s="820"/>
      <c r="C146" s="820"/>
      <c r="D146" s="68" t="s">
        <v>31</v>
      </c>
      <c r="E146" s="72">
        <f t="shared" si="13"/>
        <v>0</v>
      </c>
      <c r="F146" s="122">
        <v>0</v>
      </c>
      <c r="G146" s="123">
        <v>0</v>
      </c>
      <c r="H146" s="298">
        <v>0</v>
      </c>
      <c r="I146" s="298">
        <v>0</v>
      </c>
      <c r="J146" s="122">
        <v>0</v>
      </c>
      <c r="K146" s="123">
        <v>0</v>
      </c>
      <c r="L146" s="298">
        <v>0</v>
      </c>
      <c r="M146" s="122">
        <v>0</v>
      </c>
      <c r="N146" s="123">
        <v>0</v>
      </c>
      <c r="O146" s="298">
        <v>0</v>
      </c>
      <c r="P146" s="298">
        <v>0</v>
      </c>
      <c r="Q146" s="122">
        <v>0</v>
      </c>
      <c r="R146" s="123">
        <v>0</v>
      </c>
      <c r="S146" s="298">
        <v>0</v>
      </c>
      <c r="T146" s="124">
        <v>0</v>
      </c>
    </row>
    <row r="147" spans="1:20" x14ac:dyDescent="0.25">
      <c r="A147" s="819"/>
      <c r="B147" s="820"/>
      <c r="C147" s="820"/>
      <c r="D147" s="68" t="s">
        <v>32</v>
      </c>
      <c r="E147" s="72">
        <f t="shared" si="13"/>
        <v>0</v>
      </c>
      <c r="F147" s="122">
        <v>0</v>
      </c>
      <c r="G147" s="123">
        <v>0</v>
      </c>
      <c r="H147" s="298">
        <v>0</v>
      </c>
      <c r="I147" s="298">
        <v>0</v>
      </c>
      <c r="J147" s="122">
        <v>0</v>
      </c>
      <c r="K147" s="123">
        <v>0</v>
      </c>
      <c r="L147" s="298">
        <v>0</v>
      </c>
      <c r="M147" s="122">
        <v>0</v>
      </c>
      <c r="N147" s="123">
        <v>0</v>
      </c>
      <c r="O147" s="298">
        <v>0</v>
      </c>
      <c r="P147" s="298">
        <v>0</v>
      </c>
      <c r="Q147" s="122">
        <v>0</v>
      </c>
      <c r="R147" s="123">
        <v>0</v>
      </c>
      <c r="S147" s="298">
        <v>0</v>
      </c>
      <c r="T147" s="124">
        <v>0</v>
      </c>
    </row>
    <row r="148" spans="1:20" x14ac:dyDescent="0.25">
      <c r="A148" s="819"/>
      <c r="B148" s="820"/>
      <c r="C148" s="820"/>
      <c r="D148" s="68" t="s">
        <v>33</v>
      </c>
      <c r="E148" s="72">
        <f t="shared" si="13"/>
        <v>0</v>
      </c>
      <c r="F148" s="122">
        <v>0</v>
      </c>
      <c r="G148" s="123">
        <v>0</v>
      </c>
      <c r="H148" s="298">
        <v>0</v>
      </c>
      <c r="I148" s="298">
        <v>0</v>
      </c>
      <c r="J148" s="122">
        <v>0</v>
      </c>
      <c r="K148" s="123">
        <v>0</v>
      </c>
      <c r="L148" s="298">
        <v>0</v>
      </c>
      <c r="M148" s="122">
        <v>0</v>
      </c>
      <c r="N148" s="123">
        <v>0</v>
      </c>
      <c r="O148" s="298">
        <v>0</v>
      </c>
      <c r="P148" s="298">
        <v>0</v>
      </c>
      <c r="Q148" s="122">
        <v>0</v>
      </c>
      <c r="R148" s="123">
        <v>0</v>
      </c>
      <c r="S148" s="298">
        <v>0</v>
      </c>
      <c r="T148" s="124">
        <v>0</v>
      </c>
    </row>
    <row r="149" spans="1:20" ht="15.75" thickBot="1" x14ac:dyDescent="0.3">
      <c r="A149" s="819"/>
      <c r="B149" s="820"/>
      <c r="C149" s="820"/>
      <c r="D149" s="69" t="s">
        <v>34</v>
      </c>
      <c r="E149" s="73">
        <f t="shared" si="13"/>
        <v>0</v>
      </c>
      <c r="F149" s="125">
        <v>0</v>
      </c>
      <c r="G149" s="126">
        <v>0</v>
      </c>
      <c r="H149" s="299">
        <v>0</v>
      </c>
      <c r="I149" s="299">
        <v>0</v>
      </c>
      <c r="J149" s="125">
        <v>0</v>
      </c>
      <c r="K149" s="126">
        <v>0</v>
      </c>
      <c r="L149" s="299">
        <v>0</v>
      </c>
      <c r="M149" s="125">
        <v>0</v>
      </c>
      <c r="N149" s="126">
        <v>0</v>
      </c>
      <c r="O149" s="299">
        <v>0</v>
      </c>
      <c r="P149" s="299">
        <v>0</v>
      </c>
      <c r="Q149" s="125">
        <v>0</v>
      </c>
      <c r="R149" s="126">
        <v>0</v>
      </c>
      <c r="S149" s="299">
        <v>0</v>
      </c>
      <c r="T149" s="127">
        <v>0</v>
      </c>
    </row>
    <row r="150" spans="1:20" ht="15.75" thickBot="1" x14ac:dyDescent="0.3">
      <c r="A150" s="817" t="s">
        <v>350</v>
      </c>
      <c r="B150" s="818"/>
      <c r="C150" s="818"/>
      <c r="D150" s="81"/>
      <c r="E150" s="77">
        <f t="shared" ref="E150:T150" si="14">SUM(E151:E170)</f>
        <v>0</v>
      </c>
      <c r="F150" s="78">
        <f t="shared" si="14"/>
        <v>0</v>
      </c>
      <c r="G150" s="78">
        <f t="shared" si="14"/>
        <v>0</v>
      </c>
      <c r="H150" s="292">
        <f t="shared" si="14"/>
        <v>0</v>
      </c>
      <c r="I150" s="292">
        <f t="shared" si="14"/>
        <v>0</v>
      </c>
      <c r="J150" s="78">
        <f t="shared" si="14"/>
        <v>0</v>
      </c>
      <c r="K150" s="78">
        <f t="shared" si="14"/>
        <v>0</v>
      </c>
      <c r="L150" s="292">
        <f t="shared" si="14"/>
        <v>0</v>
      </c>
      <c r="M150" s="78">
        <f t="shared" si="14"/>
        <v>0</v>
      </c>
      <c r="N150" s="78">
        <f t="shared" si="14"/>
        <v>0</v>
      </c>
      <c r="O150" s="292">
        <f t="shared" si="14"/>
        <v>0</v>
      </c>
      <c r="P150" s="292">
        <f t="shared" si="14"/>
        <v>0</v>
      </c>
      <c r="Q150" s="78">
        <f t="shared" si="14"/>
        <v>0</v>
      </c>
      <c r="R150" s="78">
        <f t="shared" si="14"/>
        <v>0</v>
      </c>
      <c r="S150" s="292">
        <f t="shared" si="14"/>
        <v>0</v>
      </c>
      <c r="T150" s="79">
        <f t="shared" si="14"/>
        <v>0</v>
      </c>
    </row>
    <row r="151" spans="1:20" x14ac:dyDescent="0.25">
      <c r="A151" s="819" t="s">
        <v>352</v>
      </c>
      <c r="B151" s="820" t="s">
        <v>81</v>
      </c>
      <c r="C151" s="820">
        <v>633013</v>
      </c>
      <c r="D151" s="67" t="s">
        <v>25</v>
      </c>
      <c r="E151" s="64">
        <f t="shared" ref="E151:E170" si="15">SUM(F151:T151)</f>
        <v>0</v>
      </c>
      <c r="F151" s="128">
        <v>0</v>
      </c>
      <c r="G151" s="129">
        <v>0</v>
      </c>
      <c r="H151" s="293">
        <v>0</v>
      </c>
      <c r="I151" s="293">
        <v>0</v>
      </c>
      <c r="J151" s="128">
        <v>0</v>
      </c>
      <c r="K151" s="129">
        <v>0</v>
      </c>
      <c r="L151" s="293">
        <v>0</v>
      </c>
      <c r="M151" s="128">
        <v>0</v>
      </c>
      <c r="N151" s="129">
        <v>0</v>
      </c>
      <c r="O151" s="293">
        <v>0</v>
      </c>
      <c r="P151" s="293">
        <v>0</v>
      </c>
      <c r="Q151" s="128">
        <v>0</v>
      </c>
      <c r="R151" s="129">
        <v>0</v>
      </c>
      <c r="S151" s="293">
        <v>0</v>
      </c>
      <c r="T151" s="134">
        <v>0</v>
      </c>
    </row>
    <row r="152" spans="1:20" x14ac:dyDescent="0.25">
      <c r="A152" s="819"/>
      <c r="B152" s="820"/>
      <c r="C152" s="820"/>
      <c r="D152" s="68" t="s">
        <v>26</v>
      </c>
      <c r="E152" s="65">
        <f t="shared" si="15"/>
        <v>0</v>
      </c>
      <c r="F152" s="130">
        <v>0</v>
      </c>
      <c r="G152" s="131">
        <v>0</v>
      </c>
      <c r="H152" s="294">
        <v>0</v>
      </c>
      <c r="I152" s="294">
        <v>0</v>
      </c>
      <c r="J152" s="130">
        <v>0</v>
      </c>
      <c r="K152" s="131">
        <v>0</v>
      </c>
      <c r="L152" s="294">
        <v>0</v>
      </c>
      <c r="M152" s="130">
        <v>0</v>
      </c>
      <c r="N152" s="131">
        <v>0</v>
      </c>
      <c r="O152" s="294">
        <v>0</v>
      </c>
      <c r="P152" s="294">
        <v>0</v>
      </c>
      <c r="Q152" s="130">
        <v>0</v>
      </c>
      <c r="R152" s="131">
        <v>0</v>
      </c>
      <c r="S152" s="294">
        <v>0</v>
      </c>
      <c r="T152" s="135">
        <v>0</v>
      </c>
    </row>
    <row r="153" spans="1:20" x14ac:dyDescent="0.25">
      <c r="A153" s="819"/>
      <c r="B153" s="820"/>
      <c r="C153" s="820"/>
      <c r="D153" s="68" t="s">
        <v>27</v>
      </c>
      <c r="E153" s="65">
        <f t="shared" si="15"/>
        <v>0</v>
      </c>
      <c r="F153" s="130">
        <v>0</v>
      </c>
      <c r="G153" s="131">
        <v>0</v>
      </c>
      <c r="H153" s="294">
        <v>0</v>
      </c>
      <c r="I153" s="294">
        <v>0</v>
      </c>
      <c r="J153" s="130">
        <v>0</v>
      </c>
      <c r="K153" s="131">
        <v>0</v>
      </c>
      <c r="L153" s="294">
        <v>0</v>
      </c>
      <c r="M153" s="130">
        <v>0</v>
      </c>
      <c r="N153" s="131">
        <v>0</v>
      </c>
      <c r="O153" s="294">
        <v>0</v>
      </c>
      <c r="P153" s="294">
        <v>0</v>
      </c>
      <c r="Q153" s="130">
        <v>0</v>
      </c>
      <c r="R153" s="131">
        <v>0</v>
      </c>
      <c r="S153" s="294">
        <v>0</v>
      </c>
      <c r="T153" s="135">
        <v>0</v>
      </c>
    </row>
    <row r="154" spans="1:20" x14ac:dyDescent="0.25">
      <c r="A154" s="819"/>
      <c r="B154" s="820"/>
      <c r="C154" s="820"/>
      <c r="D154" s="68" t="s">
        <v>28</v>
      </c>
      <c r="E154" s="65">
        <f t="shared" si="15"/>
        <v>0</v>
      </c>
      <c r="F154" s="130">
        <v>0</v>
      </c>
      <c r="G154" s="131">
        <v>0</v>
      </c>
      <c r="H154" s="294">
        <v>0</v>
      </c>
      <c r="I154" s="294">
        <v>0</v>
      </c>
      <c r="J154" s="130">
        <v>0</v>
      </c>
      <c r="K154" s="131">
        <v>0</v>
      </c>
      <c r="L154" s="294">
        <v>0</v>
      </c>
      <c r="M154" s="130">
        <v>0</v>
      </c>
      <c r="N154" s="131">
        <v>0</v>
      </c>
      <c r="O154" s="294">
        <v>0</v>
      </c>
      <c r="P154" s="294">
        <v>0</v>
      </c>
      <c r="Q154" s="130">
        <v>0</v>
      </c>
      <c r="R154" s="131">
        <v>0</v>
      </c>
      <c r="S154" s="294">
        <v>0</v>
      </c>
      <c r="T154" s="135">
        <v>0</v>
      </c>
    </row>
    <row r="155" spans="1:20" x14ac:dyDescent="0.25">
      <c r="A155" s="819"/>
      <c r="B155" s="820"/>
      <c r="C155" s="820"/>
      <c r="D155" s="68" t="s">
        <v>29</v>
      </c>
      <c r="E155" s="65">
        <f t="shared" si="15"/>
        <v>0</v>
      </c>
      <c r="F155" s="130">
        <v>0</v>
      </c>
      <c r="G155" s="131">
        <v>0</v>
      </c>
      <c r="H155" s="294">
        <v>0</v>
      </c>
      <c r="I155" s="294">
        <v>0</v>
      </c>
      <c r="J155" s="130">
        <v>0</v>
      </c>
      <c r="K155" s="131">
        <v>0</v>
      </c>
      <c r="L155" s="294">
        <v>0</v>
      </c>
      <c r="M155" s="130">
        <v>0</v>
      </c>
      <c r="N155" s="131">
        <v>0</v>
      </c>
      <c r="O155" s="294">
        <v>0</v>
      </c>
      <c r="P155" s="294">
        <v>0</v>
      </c>
      <c r="Q155" s="130">
        <v>0</v>
      </c>
      <c r="R155" s="131">
        <v>0</v>
      </c>
      <c r="S155" s="294">
        <v>0</v>
      </c>
      <c r="T155" s="135">
        <v>0</v>
      </c>
    </row>
    <row r="156" spans="1:20" x14ac:dyDescent="0.25">
      <c r="A156" s="819"/>
      <c r="B156" s="820"/>
      <c r="C156" s="820"/>
      <c r="D156" s="68" t="s">
        <v>30</v>
      </c>
      <c r="E156" s="65">
        <f t="shared" si="15"/>
        <v>0</v>
      </c>
      <c r="F156" s="130">
        <v>0</v>
      </c>
      <c r="G156" s="131">
        <v>0</v>
      </c>
      <c r="H156" s="294">
        <v>0</v>
      </c>
      <c r="I156" s="294">
        <v>0</v>
      </c>
      <c r="J156" s="130">
        <v>0</v>
      </c>
      <c r="K156" s="131">
        <v>0</v>
      </c>
      <c r="L156" s="294">
        <v>0</v>
      </c>
      <c r="M156" s="130">
        <v>0</v>
      </c>
      <c r="N156" s="131">
        <v>0</v>
      </c>
      <c r="O156" s="294">
        <v>0</v>
      </c>
      <c r="P156" s="294">
        <v>0</v>
      </c>
      <c r="Q156" s="130">
        <v>0</v>
      </c>
      <c r="R156" s="131">
        <v>0</v>
      </c>
      <c r="S156" s="294">
        <v>0</v>
      </c>
      <c r="T156" s="135">
        <v>0</v>
      </c>
    </row>
    <row r="157" spans="1:20" x14ac:dyDescent="0.25">
      <c r="A157" s="819"/>
      <c r="B157" s="820"/>
      <c r="C157" s="820"/>
      <c r="D157" s="68" t="s">
        <v>31</v>
      </c>
      <c r="E157" s="65">
        <f t="shared" si="15"/>
        <v>0</v>
      </c>
      <c r="F157" s="130">
        <v>0</v>
      </c>
      <c r="G157" s="131">
        <v>0</v>
      </c>
      <c r="H157" s="294">
        <v>0</v>
      </c>
      <c r="I157" s="294">
        <v>0</v>
      </c>
      <c r="J157" s="130">
        <v>0</v>
      </c>
      <c r="K157" s="131">
        <v>0</v>
      </c>
      <c r="L157" s="294">
        <v>0</v>
      </c>
      <c r="M157" s="130">
        <v>0</v>
      </c>
      <c r="N157" s="131">
        <v>0</v>
      </c>
      <c r="O157" s="294">
        <v>0</v>
      </c>
      <c r="P157" s="294">
        <v>0</v>
      </c>
      <c r="Q157" s="130">
        <v>0</v>
      </c>
      <c r="R157" s="131">
        <v>0</v>
      </c>
      <c r="S157" s="294">
        <v>0</v>
      </c>
      <c r="T157" s="135">
        <v>0</v>
      </c>
    </row>
    <row r="158" spans="1:20" x14ac:dyDescent="0.25">
      <c r="A158" s="819"/>
      <c r="B158" s="820"/>
      <c r="C158" s="820"/>
      <c r="D158" s="68" t="s">
        <v>32</v>
      </c>
      <c r="E158" s="65">
        <f t="shared" si="15"/>
        <v>0</v>
      </c>
      <c r="F158" s="130">
        <v>0</v>
      </c>
      <c r="G158" s="131">
        <v>0</v>
      </c>
      <c r="H158" s="294">
        <v>0</v>
      </c>
      <c r="I158" s="294">
        <v>0</v>
      </c>
      <c r="J158" s="130">
        <v>0</v>
      </c>
      <c r="K158" s="131">
        <v>0</v>
      </c>
      <c r="L158" s="294">
        <v>0</v>
      </c>
      <c r="M158" s="130">
        <v>0</v>
      </c>
      <c r="N158" s="131">
        <v>0</v>
      </c>
      <c r="O158" s="294">
        <v>0</v>
      </c>
      <c r="P158" s="294">
        <v>0</v>
      </c>
      <c r="Q158" s="130">
        <v>0</v>
      </c>
      <c r="R158" s="131">
        <v>0</v>
      </c>
      <c r="S158" s="294">
        <v>0</v>
      </c>
      <c r="T158" s="135">
        <v>0</v>
      </c>
    </row>
    <row r="159" spans="1:20" x14ac:dyDescent="0.25">
      <c r="A159" s="819"/>
      <c r="B159" s="820"/>
      <c r="C159" s="820"/>
      <c r="D159" s="68" t="s">
        <v>33</v>
      </c>
      <c r="E159" s="65">
        <f t="shared" si="15"/>
        <v>0</v>
      </c>
      <c r="F159" s="130">
        <v>0</v>
      </c>
      <c r="G159" s="131">
        <v>0</v>
      </c>
      <c r="H159" s="294">
        <v>0</v>
      </c>
      <c r="I159" s="294">
        <v>0</v>
      </c>
      <c r="J159" s="130">
        <v>0</v>
      </c>
      <c r="K159" s="131">
        <v>0</v>
      </c>
      <c r="L159" s="294">
        <v>0</v>
      </c>
      <c r="M159" s="130">
        <v>0</v>
      </c>
      <c r="N159" s="131">
        <v>0</v>
      </c>
      <c r="O159" s="294">
        <v>0</v>
      </c>
      <c r="P159" s="294">
        <v>0</v>
      </c>
      <c r="Q159" s="130">
        <v>0</v>
      </c>
      <c r="R159" s="131">
        <v>0</v>
      </c>
      <c r="S159" s="294">
        <v>0</v>
      </c>
      <c r="T159" s="135">
        <v>0</v>
      </c>
    </row>
    <row r="160" spans="1:20" ht="15.75" thickBot="1" x14ac:dyDescent="0.3">
      <c r="A160" s="819"/>
      <c r="B160" s="820"/>
      <c r="C160" s="820"/>
      <c r="D160" s="69" t="s">
        <v>34</v>
      </c>
      <c r="E160" s="66">
        <f t="shared" si="15"/>
        <v>0</v>
      </c>
      <c r="F160" s="132">
        <v>0</v>
      </c>
      <c r="G160" s="133">
        <v>0</v>
      </c>
      <c r="H160" s="295">
        <v>0</v>
      </c>
      <c r="I160" s="295">
        <v>0</v>
      </c>
      <c r="J160" s="132">
        <v>0</v>
      </c>
      <c r="K160" s="133">
        <v>0</v>
      </c>
      <c r="L160" s="295">
        <v>0</v>
      </c>
      <c r="M160" s="132">
        <v>0</v>
      </c>
      <c r="N160" s="133">
        <v>0</v>
      </c>
      <c r="O160" s="295">
        <v>0</v>
      </c>
      <c r="P160" s="295">
        <v>0</v>
      </c>
      <c r="Q160" s="132">
        <v>0</v>
      </c>
      <c r="R160" s="133">
        <v>0</v>
      </c>
      <c r="S160" s="295">
        <v>0</v>
      </c>
      <c r="T160" s="136">
        <v>0</v>
      </c>
    </row>
    <row r="161" spans="1:20" x14ac:dyDescent="0.25">
      <c r="A161" s="819" t="s">
        <v>351</v>
      </c>
      <c r="B161" s="820"/>
      <c r="C161" s="820">
        <v>637031</v>
      </c>
      <c r="D161" s="67" t="s">
        <v>25</v>
      </c>
      <c r="E161" s="65">
        <f t="shared" si="15"/>
        <v>0</v>
      </c>
      <c r="F161" s="128">
        <v>0</v>
      </c>
      <c r="G161" s="129">
        <v>0</v>
      </c>
      <c r="H161" s="293">
        <v>0</v>
      </c>
      <c r="I161" s="293">
        <v>0</v>
      </c>
      <c r="J161" s="128">
        <v>0</v>
      </c>
      <c r="K161" s="129">
        <v>0</v>
      </c>
      <c r="L161" s="293">
        <v>0</v>
      </c>
      <c r="M161" s="128">
        <v>0</v>
      </c>
      <c r="N161" s="129">
        <v>0</v>
      </c>
      <c r="O161" s="293">
        <v>0</v>
      </c>
      <c r="P161" s="293">
        <v>0</v>
      </c>
      <c r="Q161" s="128">
        <v>0</v>
      </c>
      <c r="R161" s="129">
        <v>0</v>
      </c>
      <c r="S161" s="293">
        <v>0</v>
      </c>
      <c r="T161" s="134">
        <v>0</v>
      </c>
    </row>
    <row r="162" spans="1:20" x14ac:dyDescent="0.25">
      <c r="A162" s="819"/>
      <c r="B162" s="820"/>
      <c r="C162" s="820"/>
      <c r="D162" s="68" t="s">
        <v>26</v>
      </c>
      <c r="E162" s="65">
        <f t="shared" si="15"/>
        <v>0</v>
      </c>
      <c r="F162" s="130">
        <v>0</v>
      </c>
      <c r="G162" s="131">
        <v>0</v>
      </c>
      <c r="H162" s="294">
        <v>0</v>
      </c>
      <c r="I162" s="294">
        <v>0</v>
      </c>
      <c r="J162" s="130">
        <v>0</v>
      </c>
      <c r="K162" s="131">
        <v>0</v>
      </c>
      <c r="L162" s="294">
        <v>0</v>
      </c>
      <c r="M162" s="130">
        <v>0</v>
      </c>
      <c r="N162" s="131">
        <v>0</v>
      </c>
      <c r="O162" s="294">
        <v>0</v>
      </c>
      <c r="P162" s="294">
        <v>0</v>
      </c>
      <c r="Q162" s="130">
        <v>0</v>
      </c>
      <c r="R162" s="131">
        <v>0</v>
      </c>
      <c r="S162" s="294">
        <v>0</v>
      </c>
      <c r="T162" s="135">
        <v>0</v>
      </c>
    </row>
    <row r="163" spans="1:20" x14ac:dyDescent="0.25">
      <c r="A163" s="819"/>
      <c r="B163" s="820"/>
      <c r="C163" s="820"/>
      <c r="D163" s="68" t="s">
        <v>27</v>
      </c>
      <c r="E163" s="65">
        <f t="shared" si="15"/>
        <v>0</v>
      </c>
      <c r="F163" s="130">
        <v>0</v>
      </c>
      <c r="G163" s="131">
        <v>0</v>
      </c>
      <c r="H163" s="294">
        <v>0</v>
      </c>
      <c r="I163" s="294">
        <v>0</v>
      </c>
      <c r="J163" s="130">
        <v>0</v>
      </c>
      <c r="K163" s="131">
        <v>0</v>
      </c>
      <c r="L163" s="294">
        <v>0</v>
      </c>
      <c r="M163" s="130">
        <v>0</v>
      </c>
      <c r="N163" s="131">
        <v>0</v>
      </c>
      <c r="O163" s="294">
        <v>0</v>
      </c>
      <c r="P163" s="294">
        <v>0</v>
      </c>
      <c r="Q163" s="130">
        <v>0</v>
      </c>
      <c r="R163" s="131">
        <v>0</v>
      </c>
      <c r="S163" s="294">
        <v>0</v>
      </c>
      <c r="T163" s="135">
        <v>0</v>
      </c>
    </row>
    <row r="164" spans="1:20" x14ac:dyDescent="0.25">
      <c r="A164" s="819"/>
      <c r="B164" s="820"/>
      <c r="C164" s="820"/>
      <c r="D164" s="68" t="s">
        <v>28</v>
      </c>
      <c r="E164" s="65">
        <f t="shared" si="15"/>
        <v>0</v>
      </c>
      <c r="F164" s="130">
        <v>0</v>
      </c>
      <c r="G164" s="131">
        <v>0</v>
      </c>
      <c r="H164" s="294">
        <v>0</v>
      </c>
      <c r="I164" s="294">
        <v>0</v>
      </c>
      <c r="J164" s="130">
        <v>0</v>
      </c>
      <c r="K164" s="131">
        <v>0</v>
      </c>
      <c r="L164" s="294">
        <v>0</v>
      </c>
      <c r="M164" s="130">
        <v>0</v>
      </c>
      <c r="N164" s="131">
        <v>0</v>
      </c>
      <c r="O164" s="294">
        <v>0</v>
      </c>
      <c r="P164" s="294">
        <v>0</v>
      </c>
      <c r="Q164" s="130">
        <v>0</v>
      </c>
      <c r="R164" s="131">
        <v>0</v>
      </c>
      <c r="S164" s="294">
        <v>0</v>
      </c>
      <c r="T164" s="135">
        <v>0</v>
      </c>
    </row>
    <row r="165" spans="1:20" x14ac:dyDescent="0.25">
      <c r="A165" s="819"/>
      <c r="B165" s="820"/>
      <c r="C165" s="820"/>
      <c r="D165" s="68" t="s">
        <v>29</v>
      </c>
      <c r="E165" s="65">
        <f t="shared" si="15"/>
        <v>0</v>
      </c>
      <c r="F165" s="130">
        <v>0</v>
      </c>
      <c r="G165" s="131">
        <v>0</v>
      </c>
      <c r="H165" s="294">
        <v>0</v>
      </c>
      <c r="I165" s="294">
        <v>0</v>
      </c>
      <c r="J165" s="130">
        <v>0</v>
      </c>
      <c r="K165" s="131">
        <v>0</v>
      </c>
      <c r="L165" s="294">
        <v>0</v>
      </c>
      <c r="M165" s="130">
        <v>0</v>
      </c>
      <c r="N165" s="131">
        <v>0</v>
      </c>
      <c r="O165" s="294">
        <v>0</v>
      </c>
      <c r="P165" s="294">
        <v>0</v>
      </c>
      <c r="Q165" s="130">
        <v>0</v>
      </c>
      <c r="R165" s="131">
        <v>0</v>
      </c>
      <c r="S165" s="294">
        <v>0</v>
      </c>
      <c r="T165" s="135">
        <v>0</v>
      </c>
    </row>
    <row r="166" spans="1:20" x14ac:dyDescent="0.25">
      <c r="A166" s="819"/>
      <c r="B166" s="820"/>
      <c r="C166" s="820"/>
      <c r="D166" s="68" t="s">
        <v>30</v>
      </c>
      <c r="E166" s="65">
        <f t="shared" si="15"/>
        <v>0</v>
      </c>
      <c r="F166" s="130">
        <v>0</v>
      </c>
      <c r="G166" s="131">
        <v>0</v>
      </c>
      <c r="H166" s="294">
        <v>0</v>
      </c>
      <c r="I166" s="294">
        <v>0</v>
      </c>
      <c r="J166" s="130">
        <v>0</v>
      </c>
      <c r="K166" s="131">
        <v>0</v>
      </c>
      <c r="L166" s="294">
        <v>0</v>
      </c>
      <c r="M166" s="130">
        <v>0</v>
      </c>
      <c r="N166" s="131">
        <v>0</v>
      </c>
      <c r="O166" s="294">
        <v>0</v>
      </c>
      <c r="P166" s="294">
        <v>0</v>
      </c>
      <c r="Q166" s="130">
        <v>0</v>
      </c>
      <c r="R166" s="131">
        <v>0</v>
      </c>
      <c r="S166" s="294">
        <v>0</v>
      </c>
      <c r="T166" s="135">
        <v>0</v>
      </c>
    </row>
    <row r="167" spans="1:20" x14ac:dyDescent="0.25">
      <c r="A167" s="819"/>
      <c r="B167" s="820"/>
      <c r="C167" s="820"/>
      <c r="D167" s="68" t="s">
        <v>31</v>
      </c>
      <c r="E167" s="65">
        <f t="shared" si="15"/>
        <v>0</v>
      </c>
      <c r="F167" s="130">
        <v>0</v>
      </c>
      <c r="G167" s="131">
        <v>0</v>
      </c>
      <c r="H167" s="294">
        <v>0</v>
      </c>
      <c r="I167" s="294">
        <v>0</v>
      </c>
      <c r="J167" s="130">
        <v>0</v>
      </c>
      <c r="K167" s="131">
        <v>0</v>
      </c>
      <c r="L167" s="294">
        <v>0</v>
      </c>
      <c r="M167" s="130">
        <v>0</v>
      </c>
      <c r="N167" s="131">
        <v>0</v>
      </c>
      <c r="O167" s="294">
        <v>0</v>
      </c>
      <c r="P167" s="294">
        <v>0</v>
      </c>
      <c r="Q167" s="130">
        <v>0</v>
      </c>
      <c r="R167" s="131">
        <v>0</v>
      </c>
      <c r="S167" s="294">
        <v>0</v>
      </c>
      <c r="T167" s="135">
        <v>0</v>
      </c>
    </row>
    <row r="168" spans="1:20" x14ac:dyDescent="0.25">
      <c r="A168" s="819"/>
      <c r="B168" s="820"/>
      <c r="C168" s="820"/>
      <c r="D168" s="68" t="s">
        <v>32</v>
      </c>
      <c r="E168" s="65">
        <f t="shared" si="15"/>
        <v>0</v>
      </c>
      <c r="F168" s="130">
        <v>0</v>
      </c>
      <c r="G168" s="131">
        <v>0</v>
      </c>
      <c r="H168" s="294">
        <v>0</v>
      </c>
      <c r="I168" s="294">
        <v>0</v>
      </c>
      <c r="J168" s="130">
        <v>0</v>
      </c>
      <c r="K168" s="131">
        <v>0</v>
      </c>
      <c r="L168" s="294">
        <v>0</v>
      </c>
      <c r="M168" s="130">
        <v>0</v>
      </c>
      <c r="N168" s="131">
        <v>0</v>
      </c>
      <c r="O168" s="294">
        <v>0</v>
      </c>
      <c r="P168" s="294">
        <v>0</v>
      </c>
      <c r="Q168" s="130">
        <v>0</v>
      </c>
      <c r="R168" s="131">
        <v>0</v>
      </c>
      <c r="S168" s="294">
        <v>0</v>
      </c>
      <c r="T168" s="135">
        <v>0</v>
      </c>
    </row>
    <row r="169" spans="1:20" x14ac:dyDescent="0.25">
      <c r="A169" s="819"/>
      <c r="B169" s="820"/>
      <c r="C169" s="820"/>
      <c r="D169" s="68" t="s">
        <v>33</v>
      </c>
      <c r="E169" s="65">
        <f t="shared" si="15"/>
        <v>0</v>
      </c>
      <c r="F169" s="130">
        <v>0</v>
      </c>
      <c r="G169" s="131">
        <v>0</v>
      </c>
      <c r="H169" s="294">
        <v>0</v>
      </c>
      <c r="I169" s="294">
        <v>0</v>
      </c>
      <c r="J169" s="130">
        <v>0</v>
      </c>
      <c r="K169" s="131">
        <v>0</v>
      </c>
      <c r="L169" s="294">
        <v>0</v>
      </c>
      <c r="M169" s="130">
        <v>0</v>
      </c>
      <c r="N169" s="131">
        <v>0</v>
      </c>
      <c r="O169" s="294">
        <v>0</v>
      </c>
      <c r="P169" s="294">
        <v>0</v>
      </c>
      <c r="Q169" s="130">
        <v>0</v>
      </c>
      <c r="R169" s="131">
        <v>0</v>
      </c>
      <c r="S169" s="294">
        <v>0</v>
      </c>
      <c r="T169" s="135">
        <v>0</v>
      </c>
    </row>
    <row r="170" spans="1:20" ht="15.75" thickBot="1" x14ac:dyDescent="0.3">
      <c r="A170" s="819"/>
      <c r="B170" s="820"/>
      <c r="C170" s="820"/>
      <c r="D170" s="69" t="s">
        <v>34</v>
      </c>
      <c r="E170" s="66">
        <f t="shared" si="15"/>
        <v>0</v>
      </c>
      <c r="F170" s="132">
        <v>0</v>
      </c>
      <c r="G170" s="133">
        <v>0</v>
      </c>
      <c r="H170" s="295">
        <v>0</v>
      </c>
      <c r="I170" s="295">
        <v>0</v>
      </c>
      <c r="J170" s="132">
        <v>0</v>
      </c>
      <c r="K170" s="133">
        <v>0</v>
      </c>
      <c r="L170" s="295">
        <v>0</v>
      </c>
      <c r="M170" s="132">
        <v>0</v>
      </c>
      <c r="N170" s="133">
        <v>0</v>
      </c>
      <c r="O170" s="295">
        <v>0</v>
      </c>
      <c r="P170" s="295">
        <v>0</v>
      </c>
      <c r="Q170" s="132">
        <v>0</v>
      </c>
      <c r="R170" s="133">
        <v>0</v>
      </c>
      <c r="S170" s="295">
        <v>0</v>
      </c>
      <c r="T170" s="136">
        <v>0</v>
      </c>
    </row>
  </sheetData>
  <mergeCells count="52">
    <mergeCell ref="A119:A128"/>
    <mergeCell ref="B119:B128"/>
    <mergeCell ref="C119:C128"/>
    <mergeCell ref="C58:C67"/>
    <mergeCell ref="A68:A77"/>
    <mergeCell ref="B68:B77"/>
    <mergeCell ref="C68:C77"/>
    <mergeCell ref="A130:A139"/>
    <mergeCell ref="B130:B139"/>
    <mergeCell ref="C130:C139"/>
    <mergeCell ref="A140:A149"/>
    <mergeCell ref="B140:B149"/>
    <mergeCell ref="C140:C149"/>
    <mergeCell ref="A1:D1"/>
    <mergeCell ref="A99:A108"/>
    <mergeCell ref="B99:B108"/>
    <mergeCell ref="C99:C108"/>
    <mergeCell ref="A109:A118"/>
    <mergeCell ref="B109:B118"/>
    <mergeCell ref="C109:C118"/>
    <mergeCell ref="A79:A88"/>
    <mergeCell ref="B79:B88"/>
    <mergeCell ref="C79:C88"/>
    <mergeCell ref="A89:A98"/>
    <mergeCell ref="B89:B98"/>
    <mergeCell ref="C89:C98"/>
    <mergeCell ref="A56:C56"/>
    <mergeCell ref="A58:A67"/>
    <mergeCell ref="B58:B67"/>
    <mergeCell ref="A3:C3"/>
    <mergeCell ref="A46:A55"/>
    <mergeCell ref="B46:B55"/>
    <mergeCell ref="C46:C55"/>
    <mergeCell ref="A15:A24"/>
    <mergeCell ref="B15:B24"/>
    <mergeCell ref="C15:C24"/>
    <mergeCell ref="A26:A35"/>
    <mergeCell ref="B26:B35"/>
    <mergeCell ref="C26:C35"/>
    <mergeCell ref="C5:C14"/>
    <mergeCell ref="A5:A14"/>
    <mergeCell ref="B5:B14"/>
    <mergeCell ref="B36:B45"/>
    <mergeCell ref="A36:A45"/>
    <mergeCell ref="C36:C45"/>
    <mergeCell ref="A150:C150"/>
    <mergeCell ref="A151:A160"/>
    <mergeCell ref="B151:B160"/>
    <mergeCell ref="C151:C160"/>
    <mergeCell ref="A161:A170"/>
    <mergeCell ref="B161:B170"/>
    <mergeCell ref="C161:C170"/>
  </mergeCells>
  <pageMargins left="0.7" right="0.7" top="0.75" bottom="0.75" header="0.3" footer="0.3"/>
  <pageSetup paperSize="9" scale="29" orientation="portrait" r:id="rId1"/>
  <ignoredErrors>
    <ignoredError sqref="E25 E7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K84"/>
  <sheetViews>
    <sheetView view="pageBreakPreview" zoomScale="60" zoomScaleNormal="85" workbookViewId="0">
      <selection activeCell="H47" sqref="H47"/>
    </sheetView>
  </sheetViews>
  <sheetFormatPr defaultColWidth="8.85546875" defaultRowHeight="15" outlineLevelRow="1" outlineLevelCol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  <col min="6" max="9" width="19.28515625" customWidth="1" outlineLevel="1"/>
    <col min="10" max="10" width="31" customWidth="1" outlineLevel="1"/>
    <col min="11" max="11" width="19" customWidth="1"/>
  </cols>
  <sheetData>
    <row r="1" spans="1:11" ht="36" customHeight="1" thickBot="1" x14ac:dyDescent="0.4">
      <c r="A1" s="815" t="s">
        <v>101</v>
      </c>
      <c r="B1" s="815"/>
      <c r="C1" s="815"/>
      <c r="D1" s="816"/>
      <c r="E1" s="70" t="s">
        <v>35</v>
      </c>
      <c r="F1" s="336" t="s">
        <v>73</v>
      </c>
      <c r="G1" s="336" t="s">
        <v>74</v>
      </c>
      <c r="H1" s="336" t="s">
        <v>218</v>
      </c>
      <c r="I1" s="336" t="s">
        <v>202</v>
      </c>
      <c r="J1" s="336" t="s">
        <v>356</v>
      </c>
      <c r="K1" s="336" t="s">
        <v>349</v>
      </c>
    </row>
    <row r="2" spans="1:11" ht="15.75" thickBot="1" x14ac:dyDescent="0.3">
      <c r="A2" s="40" t="s">
        <v>0</v>
      </c>
      <c r="B2" s="75" t="s">
        <v>78</v>
      </c>
      <c r="C2" s="75" t="s">
        <v>77</v>
      </c>
      <c r="D2" s="75" t="s">
        <v>23</v>
      </c>
      <c r="E2" s="17"/>
      <c r="F2" s="17"/>
      <c r="G2" s="17"/>
      <c r="H2" s="17"/>
      <c r="I2" s="17"/>
      <c r="J2" s="17"/>
      <c r="K2" s="17"/>
    </row>
    <row r="3" spans="1:11" ht="15.75" thickBot="1" x14ac:dyDescent="0.3">
      <c r="A3" s="824" t="s">
        <v>91</v>
      </c>
      <c r="B3" s="824"/>
      <c r="C3" s="824"/>
      <c r="D3" s="74"/>
      <c r="E3" s="77">
        <f t="shared" ref="E3:K3" si="0">SUM(E4:E33)</f>
        <v>0</v>
      </c>
      <c r="F3" s="78">
        <f t="shared" si="0"/>
        <v>0</v>
      </c>
      <c r="G3" s="78">
        <f t="shared" si="0"/>
        <v>0</v>
      </c>
      <c r="H3" s="292">
        <f t="shared" si="0"/>
        <v>0</v>
      </c>
      <c r="I3" s="292">
        <f t="shared" si="0"/>
        <v>0</v>
      </c>
      <c r="J3" s="292">
        <f t="shared" si="0"/>
        <v>0</v>
      </c>
      <c r="K3" s="79">
        <f t="shared" si="0"/>
        <v>0</v>
      </c>
    </row>
    <row r="4" spans="1:11" outlineLevel="1" x14ac:dyDescent="0.25">
      <c r="A4" s="819" t="s">
        <v>93</v>
      </c>
      <c r="B4" s="819" t="s">
        <v>96</v>
      </c>
      <c r="C4" s="820">
        <v>713002</v>
      </c>
      <c r="D4" s="67" t="s">
        <v>25</v>
      </c>
      <c r="E4" s="71">
        <f t="shared" ref="E4:E33" si="1">SUM(F4:K4)</f>
        <v>0</v>
      </c>
      <c r="F4" s="119"/>
      <c r="G4" s="120"/>
      <c r="H4" s="297"/>
      <c r="I4" s="297">
        <v>0</v>
      </c>
      <c r="J4" s="297">
        <v>0</v>
      </c>
      <c r="K4" s="121">
        <v>0</v>
      </c>
    </row>
    <row r="5" spans="1:11" outlineLevel="1" x14ac:dyDescent="0.25">
      <c r="A5" s="819"/>
      <c r="B5" s="820"/>
      <c r="C5" s="820"/>
      <c r="D5" s="68" t="s">
        <v>26</v>
      </c>
      <c r="E5" s="72">
        <f t="shared" si="1"/>
        <v>0</v>
      </c>
      <c r="F5" s="122">
        <v>0</v>
      </c>
      <c r="G5" s="123">
        <v>0</v>
      </c>
      <c r="H5" s="298">
        <v>0</v>
      </c>
      <c r="I5" s="298">
        <v>0</v>
      </c>
      <c r="J5" s="298">
        <v>0</v>
      </c>
      <c r="K5" s="124">
        <v>0</v>
      </c>
    </row>
    <row r="6" spans="1:11" outlineLevel="1" x14ac:dyDescent="0.25">
      <c r="A6" s="819"/>
      <c r="B6" s="820"/>
      <c r="C6" s="820"/>
      <c r="D6" s="68" t="s">
        <v>27</v>
      </c>
      <c r="E6" s="72">
        <f t="shared" si="1"/>
        <v>0</v>
      </c>
      <c r="F6" s="122">
        <v>0</v>
      </c>
      <c r="G6" s="123">
        <v>0</v>
      </c>
      <c r="H6" s="298">
        <v>0</v>
      </c>
      <c r="I6" s="298">
        <v>0</v>
      </c>
      <c r="J6" s="298">
        <v>0</v>
      </c>
      <c r="K6" s="124">
        <v>0</v>
      </c>
    </row>
    <row r="7" spans="1:11" outlineLevel="1" x14ac:dyDescent="0.25">
      <c r="A7" s="819"/>
      <c r="B7" s="820"/>
      <c r="C7" s="820"/>
      <c r="D7" s="68" t="s">
        <v>28</v>
      </c>
      <c r="E7" s="72">
        <f t="shared" si="1"/>
        <v>0</v>
      </c>
      <c r="F7" s="122">
        <v>0</v>
      </c>
      <c r="G7" s="123">
        <v>0</v>
      </c>
      <c r="H7" s="298">
        <v>0</v>
      </c>
      <c r="I7" s="298">
        <v>0</v>
      </c>
      <c r="J7" s="298">
        <v>0</v>
      </c>
      <c r="K7" s="124">
        <v>0</v>
      </c>
    </row>
    <row r="8" spans="1:11" outlineLevel="1" x14ac:dyDescent="0.25">
      <c r="A8" s="819"/>
      <c r="B8" s="820"/>
      <c r="C8" s="820"/>
      <c r="D8" s="68" t="s">
        <v>29</v>
      </c>
      <c r="E8" s="72">
        <f t="shared" si="1"/>
        <v>0</v>
      </c>
      <c r="F8" s="122">
        <v>0</v>
      </c>
      <c r="G8" s="123">
        <v>0</v>
      </c>
      <c r="H8" s="298">
        <v>0</v>
      </c>
      <c r="I8" s="298">
        <v>0</v>
      </c>
      <c r="J8" s="298">
        <v>0</v>
      </c>
      <c r="K8" s="124">
        <v>0</v>
      </c>
    </row>
    <row r="9" spans="1:11" outlineLevel="1" x14ac:dyDescent="0.25">
      <c r="A9" s="819"/>
      <c r="B9" s="820"/>
      <c r="C9" s="820"/>
      <c r="D9" s="68" t="s">
        <v>30</v>
      </c>
      <c r="E9" s="72">
        <f t="shared" si="1"/>
        <v>0</v>
      </c>
      <c r="F9" s="122">
        <v>0</v>
      </c>
      <c r="G9" s="123">
        <v>0</v>
      </c>
      <c r="H9" s="298">
        <v>0</v>
      </c>
      <c r="I9" s="298">
        <v>0</v>
      </c>
      <c r="J9" s="298">
        <v>0</v>
      </c>
      <c r="K9" s="124">
        <v>0</v>
      </c>
    </row>
    <row r="10" spans="1:11" outlineLevel="1" x14ac:dyDescent="0.25">
      <c r="A10" s="819"/>
      <c r="B10" s="820"/>
      <c r="C10" s="820"/>
      <c r="D10" s="68" t="s">
        <v>31</v>
      </c>
      <c r="E10" s="72">
        <f t="shared" si="1"/>
        <v>0</v>
      </c>
      <c r="F10" s="122">
        <v>0</v>
      </c>
      <c r="G10" s="123">
        <v>0</v>
      </c>
      <c r="H10" s="298">
        <v>0</v>
      </c>
      <c r="I10" s="298">
        <v>0</v>
      </c>
      <c r="J10" s="298">
        <v>0</v>
      </c>
      <c r="K10" s="124">
        <v>0</v>
      </c>
    </row>
    <row r="11" spans="1:11" outlineLevel="1" x14ac:dyDescent="0.25">
      <c r="A11" s="819"/>
      <c r="B11" s="820"/>
      <c r="C11" s="820"/>
      <c r="D11" s="68" t="s">
        <v>32</v>
      </c>
      <c r="E11" s="72">
        <f t="shared" si="1"/>
        <v>0</v>
      </c>
      <c r="F11" s="122">
        <v>0</v>
      </c>
      <c r="G11" s="123">
        <v>0</v>
      </c>
      <c r="H11" s="298">
        <v>0</v>
      </c>
      <c r="I11" s="298">
        <v>0</v>
      </c>
      <c r="J11" s="298">
        <v>0</v>
      </c>
      <c r="K11" s="124">
        <v>0</v>
      </c>
    </row>
    <row r="12" spans="1:11" outlineLevel="1" x14ac:dyDescent="0.25">
      <c r="A12" s="819"/>
      <c r="B12" s="820"/>
      <c r="C12" s="820"/>
      <c r="D12" s="68" t="s">
        <v>33</v>
      </c>
      <c r="E12" s="72">
        <f t="shared" si="1"/>
        <v>0</v>
      </c>
      <c r="F12" s="122">
        <v>0</v>
      </c>
      <c r="G12" s="123">
        <v>0</v>
      </c>
      <c r="H12" s="298">
        <v>0</v>
      </c>
      <c r="I12" s="298">
        <v>0</v>
      </c>
      <c r="J12" s="298">
        <v>0</v>
      </c>
      <c r="K12" s="124">
        <v>0</v>
      </c>
    </row>
    <row r="13" spans="1:11" ht="15.75" outlineLevel="1" thickBot="1" x14ac:dyDescent="0.3">
      <c r="A13" s="819"/>
      <c r="B13" s="820"/>
      <c r="C13" s="820"/>
      <c r="D13" s="69" t="s">
        <v>34</v>
      </c>
      <c r="E13" s="73">
        <f t="shared" si="1"/>
        <v>0</v>
      </c>
      <c r="F13" s="125">
        <v>0</v>
      </c>
      <c r="G13" s="126">
        <v>0</v>
      </c>
      <c r="H13" s="299">
        <v>0</v>
      </c>
      <c r="I13" s="299">
        <v>0</v>
      </c>
      <c r="J13" s="299">
        <v>0</v>
      </c>
      <c r="K13" s="127">
        <v>0</v>
      </c>
    </row>
    <row r="14" spans="1:11" ht="15" customHeight="1" outlineLevel="1" x14ac:dyDescent="0.25">
      <c r="A14" s="819" t="s">
        <v>94</v>
      </c>
      <c r="B14" s="819" t="s">
        <v>118</v>
      </c>
      <c r="C14" s="820">
        <v>633002</v>
      </c>
      <c r="D14" s="67" t="s">
        <v>25</v>
      </c>
      <c r="E14" s="72">
        <f t="shared" si="1"/>
        <v>0</v>
      </c>
      <c r="F14" s="119">
        <v>0</v>
      </c>
      <c r="G14" s="120">
        <v>0</v>
      </c>
      <c r="H14" s="297">
        <v>0</v>
      </c>
      <c r="I14" s="297">
        <v>0</v>
      </c>
      <c r="J14" s="297">
        <v>0</v>
      </c>
      <c r="K14" s="121">
        <v>0</v>
      </c>
    </row>
    <row r="15" spans="1:11" outlineLevel="1" x14ac:dyDescent="0.25">
      <c r="A15" s="819"/>
      <c r="B15" s="820"/>
      <c r="C15" s="820"/>
      <c r="D15" s="68" t="s">
        <v>26</v>
      </c>
      <c r="E15" s="72">
        <f t="shared" si="1"/>
        <v>0</v>
      </c>
      <c r="F15" s="122">
        <v>0</v>
      </c>
      <c r="G15" s="123">
        <v>0</v>
      </c>
      <c r="H15" s="298">
        <v>0</v>
      </c>
      <c r="I15" s="298">
        <v>0</v>
      </c>
      <c r="J15" s="298">
        <v>0</v>
      </c>
      <c r="K15" s="124">
        <v>0</v>
      </c>
    </row>
    <row r="16" spans="1:11" outlineLevel="1" x14ac:dyDescent="0.25">
      <c r="A16" s="819"/>
      <c r="B16" s="820"/>
      <c r="C16" s="820"/>
      <c r="D16" s="68" t="s">
        <v>27</v>
      </c>
      <c r="E16" s="72">
        <f t="shared" si="1"/>
        <v>0</v>
      </c>
      <c r="F16" s="122">
        <v>0</v>
      </c>
      <c r="G16" s="123">
        <v>0</v>
      </c>
      <c r="H16" s="298">
        <v>0</v>
      </c>
      <c r="I16" s="298">
        <v>0</v>
      </c>
      <c r="J16" s="298">
        <v>0</v>
      </c>
      <c r="K16" s="124">
        <v>0</v>
      </c>
    </row>
    <row r="17" spans="1:11" outlineLevel="1" x14ac:dyDescent="0.25">
      <c r="A17" s="819"/>
      <c r="B17" s="820"/>
      <c r="C17" s="820"/>
      <c r="D17" s="68" t="s">
        <v>28</v>
      </c>
      <c r="E17" s="72">
        <f t="shared" si="1"/>
        <v>0</v>
      </c>
      <c r="F17" s="122">
        <v>0</v>
      </c>
      <c r="G17" s="123">
        <v>0</v>
      </c>
      <c r="H17" s="298">
        <v>0</v>
      </c>
      <c r="I17" s="298">
        <v>0</v>
      </c>
      <c r="J17" s="298">
        <v>0</v>
      </c>
      <c r="K17" s="124">
        <v>0</v>
      </c>
    </row>
    <row r="18" spans="1:11" outlineLevel="1" x14ac:dyDescent="0.25">
      <c r="A18" s="819"/>
      <c r="B18" s="820"/>
      <c r="C18" s="820"/>
      <c r="D18" s="68" t="s">
        <v>29</v>
      </c>
      <c r="E18" s="72">
        <f t="shared" si="1"/>
        <v>0</v>
      </c>
      <c r="F18" s="122">
        <v>0</v>
      </c>
      <c r="G18" s="123">
        <v>0</v>
      </c>
      <c r="H18" s="298">
        <v>0</v>
      </c>
      <c r="I18" s="298">
        <v>0</v>
      </c>
      <c r="J18" s="298">
        <v>0</v>
      </c>
      <c r="K18" s="124">
        <v>0</v>
      </c>
    </row>
    <row r="19" spans="1:11" outlineLevel="1" x14ac:dyDescent="0.25">
      <c r="A19" s="819"/>
      <c r="B19" s="820"/>
      <c r="C19" s="820"/>
      <c r="D19" s="68" t="s">
        <v>30</v>
      </c>
      <c r="E19" s="72">
        <f t="shared" si="1"/>
        <v>0</v>
      </c>
      <c r="F19" s="122">
        <v>0</v>
      </c>
      <c r="G19" s="123">
        <v>0</v>
      </c>
      <c r="H19" s="298">
        <v>0</v>
      </c>
      <c r="I19" s="298">
        <v>0</v>
      </c>
      <c r="J19" s="298">
        <v>0</v>
      </c>
      <c r="K19" s="124">
        <v>0</v>
      </c>
    </row>
    <row r="20" spans="1:11" outlineLevel="1" x14ac:dyDescent="0.25">
      <c r="A20" s="819"/>
      <c r="B20" s="820"/>
      <c r="C20" s="820"/>
      <c r="D20" s="68" t="s">
        <v>31</v>
      </c>
      <c r="E20" s="72">
        <f t="shared" si="1"/>
        <v>0</v>
      </c>
      <c r="F20" s="122">
        <v>0</v>
      </c>
      <c r="G20" s="123">
        <v>0</v>
      </c>
      <c r="H20" s="298">
        <v>0</v>
      </c>
      <c r="I20" s="298">
        <v>0</v>
      </c>
      <c r="J20" s="298">
        <v>0</v>
      </c>
      <c r="K20" s="124">
        <v>0</v>
      </c>
    </row>
    <row r="21" spans="1:11" outlineLevel="1" x14ac:dyDescent="0.25">
      <c r="A21" s="819"/>
      <c r="B21" s="820"/>
      <c r="C21" s="820"/>
      <c r="D21" s="68" t="s">
        <v>32</v>
      </c>
      <c r="E21" s="72">
        <f t="shared" si="1"/>
        <v>0</v>
      </c>
      <c r="F21" s="122">
        <v>0</v>
      </c>
      <c r="G21" s="123">
        <v>0</v>
      </c>
      <c r="H21" s="298">
        <v>0</v>
      </c>
      <c r="I21" s="298">
        <v>0</v>
      </c>
      <c r="J21" s="298">
        <v>0</v>
      </c>
      <c r="K21" s="124">
        <v>0</v>
      </c>
    </row>
    <row r="22" spans="1:11" outlineLevel="1" x14ac:dyDescent="0.25">
      <c r="A22" s="819"/>
      <c r="B22" s="820"/>
      <c r="C22" s="820"/>
      <c r="D22" s="68" t="s">
        <v>33</v>
      </c>
      <c r="E22" s="72">
        <f t="shared" si="1"/>
        <v>0</v>
      </c>
      <c r="F22" s="122">
        <v>0</v>
      </c>
      <c r="G22" s="123">
        <v>0</v>
      </c>
      <c r="H22" s="298">
        <v>0</v>
      </c>
      <c r="I22" s="298">
        <v>0</v>
      </c>
      <c r="J22" s="298">
        <v>0</v>
      </c>
      <c r="K22" s="124">
        <v>0</v>
      </c>
    </row>
    <row r="23" spans="1:11" ht="15.75" outlineLevel="1" thickBot="1" x14ac:dyDescent="0.3">
      <c r="A23" s="819"/>
      <c r="B23" s="820"/>
      <c r="C23" s="820"/>
      <c r="D23" s="69" t="s">
        <v>34</v>
      </c>
      <c r="E23" s="73">
        <f t="shared" si="1"/>
        <v>0</v>
      </c>
      <c r="F23" s="125">
        <v>0</v>
      </c>
      <c r="G23" s="126">
        <v>0</v>
      </c>
      <c r="H23" s="299">
        <v>0</v>
      </c>
      <c r="I23" s="299">
        <v>0</v>
      </c>
      <c r="J23" s="299">
        <v>0</v>
      </c>
      <c r="K23" s="127">
        <v>0</v>
      </c>
    </row>
    <row r="24" spans="1:11" outlineLevel="1" x14ac:dyDescent="0.25">
      <c r="A24" s="819" t="s">
        <v>95</v>
      </c>
      <c r="B24" s="820" t="s">
        <v>81</v>
      </c>
      <c r="C24" s="820">
        <v>637001</v>
      </c>
      <c r="D24" s="67" t="s">
        <v>25</v>
      </c>
      <c r="E24" s="72">
        <f t="shared" si="1"/>
        <v>0</v>
      </c>
      <c r="F24" s="119">
        <v>0</v>
      </c>
      <c r="G24" s="120">
        <v>0</v>
      </c>
      <c r="H24" s="297">
        <v>0</v>
      </c>
      <c r="I24" s="297">
        <v>0</v>
      </c>
      <c r="J24" s="297">
        <v>0</v>
      </c>
      <c r="K24" s="121">
        <v>0</v>
      </c>
    </row>
    <row r="25" spans="1:11" outlineLevel="1" x14ac:dyDescent="0.25">
      <c r="A25" s="819"/>
      <c r="B25" s="820"/>
      <c r="C25" s="820"/>
      <c r="D25" s="68" t="s">
        <v>26</v>
      </c>
      <c r="E25" s="72">
        <f t="shared" si="1"/>
        <v>0</v>
      </c>
      <c r="F25" s="122">
        <v>0</v>
      </c>
      <c r="G25" s="123">
        <v>0</v>
      </c>
      <c r="H25" s="298">
        <v>0</v>
      </c>
      <c r="I25" s="298">
        <v>0</v>
      </c>
      <c r="J25" s="298">
        <v>0</v>
      </c>
      <c r="K25" s="124">
        <v>0</v>
      </c>
    </row>
    <row r="26" spans="1:11" outlineLevel="1" x14ac:dyDescent="0.25">
      <c r="A26" s="819"/>
      <c r="B26" s="820"/>
      <c r="C26" s="820"/>
      <c r="D26" s="68" t="s">
        <v>27</v>
      </c>
      <c r="E26" s="72">
        <f t="shared" si="1"/>
        <v>0</v>
      </c>
      <c r="F26" s="122">
        <v>0</v>
      </c>
      <c r="G26" s="123">
        <v>0</v>
      </c>
      <c r="H26" s="298">
        <v>0</v>
      </c>
      <c r="I26" s="298">
        <v>0</v>
      </c>
      <c r="J26" s="298">
        <v>0</v>
      </c>
      <c r="K26" s="124">
        <v>0</v>
      </c>
    </row>
    <row r="27" spans="1:11" outlineLevel="1" x14ac:dyDescent="0.25">
      <c r="A27" s="819"/>
      <c r="B27" s="820"/>
      <c r="C27" s="820"/>
      <c r="D27" s="68" t="s">
        <v>28</v>
      </c>
      <c r="E27" s="72">
        <f t="shared" si="1"/>
        <v>0</v>
      </c>
      <c r="F27" s="122">
        <v>0</v>
      </c>
      <c r="G27" s="123">
        <v>0</v>
      </c>
      <c r="H27" s="298">
        <v>0</v>
      </c>
      <c r="I27" s="298">
        <v>0</v>
      </c>
      <c r="J27" s="298">
        <v>0</v>
      </c>
      <c r="K27" s="124">
        <v>0</v>
      </c>
    </row>
    <row r="28" spans="1:11" outlineLevel="1" x14ac:dyDescent="0.25">
      <c r="A28" s="819"/>
      <c r="B28" s="820"/>
      <c r="C28" s="820"/>
      <c r="D28" s="68" t="s">
        <v>29</v>
      </c>
      <c r="E28" s="72">
        <f t="shared" si="1"/>
        <v>0</v>
      </c>
      <c r="F28" s="122">
        <v>0</v>
      </c>
      <c r="G28" s="123">
        <v>0</v>
      </c>
      <c r="H28" s="298">
        <v>0</v>
      </c>
      <c r="I28" s="298">
        <v>0</v>
      </c>
      <c r="J28" s="298">
        <v>0</v>
      </c>
      <c r="K28" s="124">
        <v>0</v>
      </c>
    </row>
    <row r="29" spans="1:11" outlineLevel="1" x14ac:dyDescent="0.25">
      <c r="A29" s="819"/>
      <c r="B29" s="820"/>
      <c r="C29" s="820"/>
      <c r="D29" s="68" t="s">
        <v>30</v>
      </c>
      <c r="E29" s="72">
        <f t="shared" si="1"/>
        <v>0</v>
      </c>
      <c r="F29" s="122">
        <v>0</v>
      </c>
      <c r="G29" s="123">
        <v>0</v>
      </c>
      <c r="H29" s="298">
        <v>0</v>
      </c>
      <c r="I29" s="298">
        <v>0</v>
      </c>
      <c r="J29" s="298">
        <v>0</v>
      </c>
      <c r="K29" s="124">
        <v>0</v>
      </c>
    </row>
    <row r="30" spans="1:11" outlineLevel="1" x14ac:dyDescent="0.25">
      <c r="A30" s="819"/>
      <c r="B30" s="820"/>
      <c r="C30" s="820"/>
      <c r="D30" s="68" t="s">
        <v>31</v>
      </c>
      <c r="E30" s="72">
        <f t="shared" si="1"/>
        <v>0</v>
      </c>
      <c r="F30" s="122">
        <v>0</v>
      </c>
      <c r="G30" s="123">
        <v>0</v>
      </c>
      <c r="H30" s="298">
        <v>0</v>
      </c>
      <c r="I30" s="298">
        <v>0</v>
      </c>
      <c r="J30" s="298">
        <v>0</v>
      </c>
      <c r="K30" s="124">
        <v>0</v>
      </c>
    </row>
    <row r="31" spans="1:11" outlineLevel="1" x14ac:dyDescent="0.25">
      <c r="A31" s="819"/>
      <c r="B31" s="820"/>
      <c r="C31" s="820"/>
      <c r="D31" s="68" t="s">
        <v>32</v>
      </c>
      <c r="E31" s="72">
        <f t="shared" si="1"/>
        <v>0</v>
      </c>
      <c r="F31" s="122">
        <v>0</v>
      </c>
      <c r="G31" s="123">
        <v>0</v>
      </c>
      <c r="H31" s="298">
        <v>0</v>
      </c>
      <c r="I31" s="298">
        <v>0</v>
      </c>
      <c r="J31" s="298">
        <v>0</v>
      </c>
      <c r="K31" s="124">
        <v>0</v>
      </c>
    </row>
    <row r="32" spans="1:11" outlineLevel="1" x14ac:dyDescent="0.25">
      <c r="A32" s="819"/>
      <c r="B32" s="820"/>
      <c r="C32" s="820"/>
      <c r="D32" s="68" t="s">
        <v>33</v>
      </c>
      <c r="E32" s="72">
        <f t="shared" si="1"/>
        <v>0</v>
      </c>
      <c r="F32" s="122">
        <v>0</v>
      </c>
      <c r="G32" s="123">
        <v>0</v>
      </c>
      <c r="H32" s="298">
        <v>0</v>
      </c>
      <c r="I32" s="298">
        <v>0</v>
      </c>
      <c r="J32" s="298">
        <v>0</v>
      </c>
      <c r="K32" s="124">
        <v>0</v>
      </c>
    </row>
    <row r="33" spans="1:11" ht="15.75" outlineLevel="1" thickBot="1" x14ac:dyDescent="0.3">
      <c r="A33" s="819"/>
      <c r="B33" s="820"/>
      <c r="C33" s="820"/>
      <c r="D33" s="69" t="s">
        <v>34</v>
      </c>
      <c r="E33" s="72">
        <f t="shared" si="1"/>
        <v>0</v>
      </c>
      <c r="F33" s="125">
        <v>0</v>
      </c>
      <c r="G33" s="126">
        <v>0</v>
      </c>
      <c r="H33" s="299">
        <v>0</v>
      </c>
      <c r="I33" s="299">
        <v>0</v>
      </c>
      <c r="J33" s="299">
        <v>0</v>
      </c>
      <c r="K33" s="127">
        <v>0</v>
      </c>
    </row>
    <row r="34" spans="1:11" ht="15.75" thickBot="1" x14ac:dyDescent="0.3">
      <c r="A34" s="821" t="s">
        <v>92</v>
      </c>
      <c r="B34" s="821"/>
      <c r="C34" s="821"/>
      <c r="D34" s="76"/>
      <c r="E34" s="77">
        <f t="shared" ref="E34:K34" si="2">SUM(E35:E84)</f>
        <v>0</v>
      </c>
      <c r="F34" s="78">
        <f t="shared" si="2"/>
        <v>0</v>
      </c>
      <c r="G34" s="78">
        <f t="shared" si="2"/>
        <v>0</v>
      </c>
      <c r="H34" s="292">
        <f t="shared" si="2"/>
        <v>0</v>
      </c>
      <c r="I34" s="292">
        <f t="shared" si="2"/>
        <v>0</v>
      </c>
      <c r="J34" s="292">
        <f t="shared" si="2"/>
        <v>0</v>
      </c>
      <c r="K34" s="79">
        <f t="shared" si="2"/>
        <v>0</v>
      </c>
    </row>
    <row r="35" spans="1:11" outlineLevel="1" x14ac:dyDescent="0.25">
      <c r="A35" s="819" t="s">
        <v>97</v>
      </c>
      <c r="B35" s="820" t="s">
        <v>84</v>
      </c>
      <c r="C35" s="820">
        <v>635002</v>
      </c>
      <c r="D35" s="67" t="s">
        <v>25</v>
      </c>
      <c r="E35" s="71">
        <f t="shared" ref="E35:E66" si="3">SUM(F35:K35)</f>
        <v>0</v>
      </c>
      <c r="F35" s="119">
        <v>0</v>
      </c>
      <c r="G35" s="120">
        <v>0</v>
      </c>
      <c r="H35" s="297">
        <v>0</v>
      </c>
      <c r="I35" s="297">
        <v>0</v>
      </c>
      <c r="J35" s="297">
        <v>0</v>
      </c>
      <c r="K35" s="121">
        <v>0</v>
      </c>
    </row>
    <row r="36" spans="1:11" outlineLevel="1" x14ac:dyDescent="0.25">
      <c r="A36" s="819"/>
      <c r="B36" s="820"/>
      <c r="C36" s="820"/>
      <c r="D36" s="68" t="s">
        <v>26</v>
      </c>
      <c r="E36" s="72">
        <f t="shared" si="3"/>
        <v>0</v>
      </c>
      <c r="F36" s="122">
        <v>0</v>
      </c>
      <c r="G36" s="123">
        <v>0</v>
      </c>
      <c r="H36" s="298">
        <v>0</v>
      </c>
      <c r="I36" s="298">
        <v>0</v>
      </c>
      <c r="J36" s="298">
        <v>0</v>
      </c>
      <c r="K36" s="124">
        <v>0</v>
      </c>
    </row>
    <row r="37" spans="1:11" outlineLevel="1" x14ac:dyDescent="0.25">
      <c r="A37" s="819"/>
      <c r="B37" s="820"/>
      <c r="C37" s="820"/>
      <c r="D37" s="68" t="s">
        <v>27</v>
      </c>
      <c r="E37" s="72">
        <f t="shared" si="3"/>
        <v>0</v>
      </c>
      <c r="F37" s="122">
        <v>0</v>
      </c>
      <c r="G37" s="123">
        <v>0</v>
      </c>
      <c r="H37" s="298">
        <v>0</v>
      </c>
      <c r="I37" s="298">
        <v>0</v>
      </c>
      <c r="J37" s="298">
        <v>0</v>
      </c>
      <c r="K37" s="124">
        <v>0</v>
      </c>
    </row>
    <row r="38" spans="1:11" outlineLevel="1" x14ac:dyDescent="0.25">
      <c r="A38" s="819"/>
      <c r="B38" s="820"/>
      <c r="C38" s="820"/>
      <c r="D38" s="68" t="s">
        <v>28</v>
      </c>
      <c r="E38" s="72">
        <f t="shared" si="3"/>
        <v>0</v>
      </c>
      <c r="F38" s="122">
        <v>0</v>
      </c>
      <c r="G38" s="123">
        <v>0</v>
      </c>
      <c r="H38" s="298">
        <v>0</v>
      </c>
      <c r="I38" s="298">
        <v>0</v>
      </c>
      <c r="J38" s="298">
        <v>0</v>
      </c>
      <c r="K38" s="124">
        <v>0</v>
      </c>
    </row>
    <row r="39" spans="1:11" outlineLevel="1" x14ac:dyDescent="0.25">
      <c r="A39" s="819"/>
      <c r="B39" s="820"/>
      <c r="C39" s="820"/>
      <c r="D39" s="68" t="s">
        <v>29</v>
      </c>
      <c r="E39" s="72">
        <f t="shared" si="3"/>
        <v>0</v>
      </c>
      <c r="F39" s="122">
        <v>0</v>
      </c>
      <c r="G39" s="123">
        <v>0</v>
      </c>
      <c r="H39" s="298">
        <v>0</v>
      </c>
      <c r="I39" s="298">
        <v>0</v>
      </c>
      <c r="J39" s="298">
        <v>0</v>
      </c>
      <c r="K39" s="124">
        <v>0</v>
      </c>
    </row>
    <row r="40" spans="1:11" outlineLevel="1" x14ac:dyDescent="0.25">
      <c r="A40" s="819"/>
      <c r="B40" s="820"/>
      <c r="C40" s="820"/>
      <c r="D40" s="68" t="s">
        <v>30</v>
      </c>
      <c r="E40" s="72">
        <f t="shared" si="3"/>
        <v>0</v>
      </c>
      <c r="F40" s="122">
        <v>0</v>
      </c>
      <c r="G40" s="123">
        <v>0</v>
      </c>
      <c r="H40" s="298">
        <v>0</v>
      </c>
      <c r="I40" s="298">
        <v>0</v>
      </c>
      <c r="J40" s="298">
        <v>0</v>
      </c>
      <c r="K40" s="124">
        <v>0</v>
      </c>
    </row>
    <row r="41" spans="1:11" outlineLevel="1" x14ac:dyDescent="0.25">
      <c r="A41" s="819"/>
      <c r="B41" s="820"/>
      <c r="C41" s="820"/>
      <c r="D41" s="68" t="s">
        <v>31</v>
      </c>
      <c r="E41" s="72">
        <f t="shared" si="3"/>
        <v>0</v>
      </c>
      <c r="F41" s="122">
        <v>0</v>
      </c>
      <c r="G41" s="123">
        <v>0</v>
      </c>
      <c r="H41" s="298">
        <v>0</v>
      </c>
      <c r="I41" s="298">
        <v>0</v>
      </c>
      <c r="J41" s="298">
        <v>0</v>
      </c>
      <c r="K41" s="124">
        <v>0</v>
      </c>
    </row>
    <row r="42" spans="1:11" outlineLevel="1" x14ac:dyDescent="0.25">
      <c r="A42" s="819"/>
      <c r="B42" s="820"/>
      <c r="C42" s="820"/>
      <c r="D42" s="68" t="s">
        <v>32</v>
      </c>
      <c r="E42" s="72">
        <f t="shared" si="3"/>
        <v>0</v>
      </c>
      <c r="F42" s="122">
        <v>0</v>
      </c>
      <c r="G42" s="123">
        <v>0</v>
      </c>
      <c r="H42" s="298">
        <v>0</v>
      </c>
      <c r="I42" s="298">
        <v>0</v>
      </c>
      <c r="J42" s="298">
        <v>0</v>
      </c>
      <c r="K42" s="124">
        <v>0</v>
      </c>
    </row>
    <row r="43" spans="1:11" outlineLevel="1" x14ac:dyDescent="0.25">
      <c r="A43" s="819"/>
      <c r="B43" s="820"/>
      <c r="C43" s="820"/>
      <c r="D43" s="68" t="s">
        <v>33</v>
      </c>
      <c r="E43" s="72">
        <f t="shared" si="3"/>
        <v>0</v>
      </c>
      <c r="F43" s="122">
        <v>0</v>
      </c>
      <c r="G43" s="123">
        <v>0</v>
      </c>
      <c r="H43" s="298">
        <v>0</v>
      </c>
      <c r="I43" s="298">
        <v>0</v>
      </c>
      <c r="J43" s="298">
        <v>0</v>
      </c>
      <c r="K43" s="124">
        <v>0</v>
      </c>
    </row>
    <row r="44" spans="1:11" ht="15.75" outlineLevel="1" thickBot="1" x14ac:dyDescent="0.3">
      <c r="A44" s="819"/>
      <c r="B44" s="820"/>
      <c r="C44" s="820"/>
      <c r="D44" s="69" t="s">
        <v>34</v>
      </c>
      <c r="E44" s="73">
        <f t="shared" si="3"/>
        <v>0</v>
      </c>
      <c r="F44" s="125">
        <v>0</v>
      </c>
      <c r="G44" s="126">
        <v>0</v>
      </c>
      <c r="H44" s="299">
        <v>0</v>
      </c>
      <c r="I44" s="299">
        <v>0</v>
      </c>
      <c r="J44" s="299">
        <v>0</v>
      </c>
      <c r="K44" s="127">
        <v>0</v>
      </c>
    </row>
    <row r="45" spans="1:11" outlineLevel="1" x14ac:dyDescent="0.25">
      <c r="A45" s="819" t="s">
        <v>98</v>
      </c>
      <c r="B45" s="819" t="s">
        <v>96</v>
      </c>
      <c r="C45" s="820">
        <v>718002</v>
      </c>
      <c r="D45" s="67" t="s">
        <v>25</v>
      </c>
      <c r="E45" s="72">
        <f t="shared" si="3"/>
        <v>0</v>
      </c>
      <c r="F45" s="119">
        <v>0</v>
      </c>
      <c r="G45" s="120">
        <v>0</v>
      </c>
      <c r="H45" s="297">
        <v>0</v>
      </c>
      <c r="I45" s="297">
        <v>0</v>
      </c>
      <c r="J45" s="297">
        <v>0</v>
      </c>
      <c r="K45" s="121">
        <v>0</v>
      </c>
    </row>
    <row r="46" spans="1:11" outlineLevel="1" x14ac:dyDescent="0.25">
      <c r="A46" s="819"/>
      <c r="B46" s="820"/>
      <c r="C46" s="820"/>
      <c r="D46" s="68" t="s">
        <v>26</v>
      </c>
      <c r="E46" s="72">
        <f t="shared" si="3"/>
        <v>0</v>
      </c>
      <c r="F46" s="122">
        <v>0</v>
      </c>
      <c r="G46" s="123">
        <v>0</v>
      </c>
      <c r="H46" s="298">
        <v>0</v>
      </c>
      <c r="I46" s="298">
        <v>0</v>
      </c>
      <c r="J46" s="298">
        <v>0</v>
      </c>
      <c r="K46" s="124">
        <v>0</v>
      </c>
    </row>
    <row r="47" spans="1:11" outlineLevel="1" x14ac:dyDescent="0.25">
      <c r="A47" s="819"/>
      <c r="B47" s="820"/>
      <c r="C47" s="820"/>
      <c r="D47" s="68" t="s">
        <v>27</v>
      </c>
      <c r="E47" s="72">
        <f t="shared" si="3"/>
        <v>0</v>
      </c>
      <c r="F47" s="122">
        <v>0</v>
      </c>
      <c r="G47" s="123">
        <v>0</v>
      </c>
      <c r="H47" s="298">
        <v>0</v>
      </c>
      <c r="I47" s="298">
        <v>0</v>
      </c>
      <c r="J47" s="298">
        <v>0</v>
      </c>
      <c r="K47" s="124">
        <v>0</v>
      </c>
    </row>
    <row r="48" spans="1:11" outlineLevel="1" x14ac:dyDescent="0.25">
      <c r="A48" s="819"/>
      <c r="B48" s="820"/>
      <c r="C48" s="820"/>
      <c r="D48" s="68" t="s">
        <v>28</v>
      </c>
      <c r="E48" s="72">
        <f t="shared" si="3"/>
        <v>0</v>
      </c>
      <c r="F48" s="122">
        <v>0</v>
      </c>
      <c r="G48" s="123">
        <v>0</v>
      </c>
      <c r="H48" s="298">
        <v>0</v>
      </c>
      <c r="I48" s="298">
        <v>0</v>
      </c>
      <c r="J48" s="298">
        <v>0</v>
      </c>
      <c r="K48" s="124">
        <v>0</v>
      </c>
    </row>
    <row r="49" spans="1:11" outlineLevel="1" x14ac:dyDescent="0.25">
      <c r="A49" s="819"/>
      <c r="B49" s="820"/>
      <c r="C49" s="820"/>
      <c r="D49" s="68" t="s">
        <v>29</v>
      </c>
      <c r="E49" s="72">
        <f t="shared" si="3"/>
        <v>0</v>
      </c>
      <c r="F49" s="122">
        <v>0</v>
      </c>
      <c r="G49" s="123">
        <v>0</v>
      </c>
      <c r="H49" s="298">
        <v>0</v>
      </c>
      <c r="I49" s="298">
        <v>0</v>
      </c>
      <c r="J49" s="298">
        <v>0</v>
      </c>
      <c r="K49" s="124">
        <v>0</v>
      </c>
    </row>
    <row r="50" spans="1:11" outlineLevel="1" x14ac:dyDescent="0.25">
      <c r="A50" s="819"/>
      <c r="B50" s="820"/>
      <c r="C50" s="820"/>
      <c r="D50" s="68" t="s">
        <v>30</v>
      </c>
      <c r="E50" s="72">
        <f t="shared" si="3"/>
        <v>0</v>
      </c>
      <c r="F50" s="122">
        <v>0</v>
      </c>
      <c r="G50" s="123">
        <v>0</v>
      </c>
      <c r="H50" s="298">
        <v>0</v>
      </c>
      <c r="I50" s="298">
        <v>0</v>
      </c>
      <c r="J50" s="298">
        <v>0</v>
      </c>
      <c r="K50" s="124">
        <v>0</v>
      </c>
    </row>
    <row r="51" spans="1:11" outlineLevel="1" x14ac:dyDescent="0.25">
      <c r="A51" s="819"/>
      <c r="B51" s="820"/>
      <c r="C51" s="820"/>
      <c r="D51" s="68" t="s">
        <v>31</v>
      </c>
      <c r="E51" s="72">
        <f t="shared" si="3"/>
        <v>0</v>
      </c>
      <c r="F51" s="122">
        <v>0</v>
      </c>
      <c r="G51" s="123">
        <v>0</v>
      </c>
      <c r="H51" s="298">
        <v>0</v>
      </c>
      <c r="I51" s="298">
        <v>0</v>
      </c>
      <c r="J51" s="298">
        <v>0</v>
      </c>
      <c r="K51" s="124">
        <v>0</v>
      </c>
    </row>
    <row r="52" spans="1:11" outlineLevel="1" x14ac:dyDescent="0.25">
      <c r="A52" s="819"/>
      <c r="B52" s="820"/>
      <c r="C52" s="820"/>
      <c r="D52" s="68" t="s">
        <v>32</v>
      </c>
      <c r="E52" s="72">
        <f t="shared" si="3"/>
        <v>0</v>
      </c>
      <c r="F52" s="122">
        <v>0</v>
      </c>
      <c r="G52" s="123">
        <v>0</v>
      </c>
      <c r="H52" s="298">
        <v>0</v>
      </c>
      <c r="I52" s="298">
        <v>0</v>
      </c>
      <c r="J52" s="298">
        <v>0</v>
      </c>
      <c r="K52" s="124">
        <v>0</v>
      </c>
    </row>
    <row r="53" spans="1:11" outlineLevel="1" x14ac:dyDescent="0.25">
      <c r="A53" s="819"/>
      <c r="B53" s="820"/>
      <c r="C53" s="820"/>
      <c r="D53" s="68" t="s">
        <v>33</v>
      </c>
      <c r="E53" s="72">
        <f t="shared" si="3"/>
        <v>0</v>
      </c>
      <c r="F53" s="122">
        <v>0</v>
      </c>
      <c r="G53" s="123">
        <v>0</v>
      </c>
      <c r="H53" s="298">
        <v>0</v>
      </c>
      <c r="I53" s="298">
        <v>0</v>
      </c>
      <c r="J53" s="298">
        <v>0</v>
      </c>
      <c r="K53" s="124">
        <v>0</v>
      </c>
    </row>
    <row r="54" spans="1:11" ht="15.75" outlineLevel="1" thickBot="1" x14ac:dyDescent="0.3">
      <c r="A54" s="819"/>
      <c r="B54" s="820"/>
      <c r="C54" s="820"/>
      <c r="D54" s="69" t="s">
        <v>34</v>
      </c>
      <c r="E54" s="73">
        <f t="shared" si="3"/>
        <v>0</v>
      </c>
      <c r="F54" s="125">
        <v>0</v>
      </c>
      <c r="G54" s="126">
        <v>0</v>
      </c>
      <c r="H54" s="299">
        <v>0</v>
      </c>
      <c r="I54" s="299">
        <v>0</v>
      </c>
      <c r="J54" s="299">
        <v>0</v>
      </c>
      <c r="K54" s="127">
        <v>0</v>
      </c>
    </row>
    <row r="55" spans="1:11" outlineLevel="1" x14ac:dyDescent="0.25">
      <c r="A55" s="819" t="s">
        <v>99</v>
      </c>
      <c r="B55" s="820"/>
      <c r="C55" s="820"/>
      <c r="D55" s="67" t="s">
        <v>25</v>
      </c>
      <c r="E55" s="72">
        <f t="shared" si="3"/>
        <v>0</v>
      </c>
      <c r="F55" s="119">
        <v>0</v>
      </c>
      <c r="G55" s="120">
        <v>0</v>
      </c>
      <c r="H55" s="297">
        <v>0</v>
      </c>
      <c r="I55" s="297">
        <v>0</v>
      </c>
      <c r="J55" s="297">
        <v>0</v>
      </c>
      <c r="K55" s="121">
        <v>0</v>
      </c>
    </row>
    <row r="56" spans="1:11" outlineLevel="1" x14ac:dyDescent="0.25">
      <c r="A56" s="819"/>
      <c r="B56" s="820"/>
      <c r="C56" s="820"/>
      <c r="D56" s="68" t="s">
        <v>26</v>
      </c>
      <c r="E56" s="72">
        <f t="shared" si="3"/>
        <v>0</v>
      </c>
      <c r="F56" s="122">
        <v>0</v>
      </c>
      <c r="G56" s="123">
        <v>0</v>
      </c>
      <c r="H56" s="298">
        <v>0</v>
      </c>
      <c r="I56" s="298">
        <v>0</v>
      </c>
      <c r="J56" s="298">
        <v>0</v>
      </c>
      <c r="K56" s="124">
        <v>0</v>
      </c>
    </row>
    <row r="57" spans="1:11" outlineLevel="1" x14ac:dyDescent="0.25">
      <c r="A57" s="819"/>
      <c r="B57" s="820"/>
      <c r="C57" s="820"/>
      <c r="D57" s="68" t="s">
        <v>27</v>
      </c>
      <c r="E57" s="72">
        <f t="shared" si="3"/>
        <v>0</v>
      </c>
      <c r="F57" s="122">
        <v>0</v>
      </c>
      <c r="G57" s="123">
        <v>0</v>
      </c>
      <c r="H57" s="298">
        <v>0</v>
      </c>
      <c r="I57" s="298">
        <v>0</v>
      </c>
      <c r="J57" s="298">
        <v>0</v>
      </c>
      <c r="K57" s="124">
        <v>0</v>
      </c>
    </row>
    <row r="58" spans="1:11" outlineLevel="1" x14ac:dyDescent="0.25">
      <c r="A58" s="819"/>
      <c r="B58" s="820"/>
      <c r="C58" s="820"/>
      <c r="D58" s="68" t="s">
        <v>28</v>
      </c>
      <c r="E58" s="72">
        <f t="shared" si="3"/>
        <v>0</v>
      </c>
      <c r="F58" s="122">
        <v>0</v>
      </c>
      <c r="G58" s="123">
        <v>0</v>
      </c>
      <c r="H58" s="298">
        <v>0</v>
      </c>
      <c r="I58" s="298">
        <v>0</v>
      </c>
      <c r="J58" s="298">
        <v>0</v>
      </c>
      <c r="K58" s="124">
        <v>0</v>
      </c>
    </row>
    <row r="59" spans="1:11" outlineLevel="1" x14ac:dyDescent="0.25">
      <c r="A59" s="819"/>
      <c r="B59" s="820"/>
      <c r="C59" s="820"/>
      <c r="D59" s="68" t="s">
        <v>29</v>
      </c>
      <c r="E59" s="72">
        <f t="shared" si="3"/>
        <v>0</v>
      </c>
      <c r="F59" s="122">
        <v>0</v>
      </c>
      <c r="G59" s="123">
        <v>0</v>
      </c>
      <c r="H59" s="298">
        <v>0</v>
      </c>
      <c r="I59" s="298">
        <v>0</v>
      </c>
      <c r="J59" s="298">
        <v>0</v>
      </c>
      <c r="K59" s="124">
        <v>0</v>
      </c>
    </row>
    <row r="60" spans="1:11" outlineLevel="1" x14ac:dyDescent="0.25">
      <c r="A60" s="819"/>
      <c r="B60" s="820"/>
      <c r="C60" s="820"/>
      <c r="D60" s="68" t="s">
        <v>30</v>
      </c>
      <c r="E60" s="72">
        <f t="shared" si="3"/>
        <v>0</v>
      </c>
      <c r="F60" s="122">
        <v>0</v>
      </c>
      <c r="G60" s="123">
        <v>0</v>
      </c>
      <c r="H60" s="298">
        <v>0</v>
      </c>
      <c r="I60" s="298">
        <v>0</v>
      </c>
      <c r="J60" s="298">
        <v>0</v>
      </c>
      <c r="K60" s="124">
        <v>0</v>
      </c>
    </row>
    <row r="61" spans="1:11" outlineLevel="1" x14ac:dyDescent="0.25">
      <c r="A61" s="819"/>
      <c r="B61" s="820"/>
      <c r="C61" s="820"/>
      <c r="D61" s="68" t="s">
        <v>31</v>
      </c>
      <c r="E61" s="72">
        <f t="shared" si="3"/>
        <v>0</v>
      </c>
      <c r="F61" s="122">
        <v>0</v>
      </c>
      <c r="G61" s="123">
        <v>0</v>
      </c>
      <c r="H61" s="298">
        <v>0</v>
      </c>
      <c r="I61" s="298">
        <v>0</v>
      </c>
      <c r="J61" s="298">
        <v>0</v>
      </c>
      <c r="K61" s="124">
        <v>0</v>
      </c>
    </row>
    <row r="62" spans="1:11" outlineLevel="1" x14ac:dyDescent="0.25">
      <c r="A62" s="819"/>
      <c r="B62" s="820"/>
      <c r="C62" s="820"/>
      <c r="D62" s="68" t="s">
        <v>32</v>
      </c>
      <c r="E62" s="72">
        <f t="shared" si="3"/>
        <v>0</v>
      </c>
      <c r="F62" s="122">
        <v>0</v>
      </c>
      <c r="G62" s="123">
        <v>0</v>
      </c>
      <c r="H62" s="298">
        <v>0</v>
      </c>
      <c r="I62" s="298">
        <v>0</v>
      </c>
      <c r="J62" s="298">
        <v>0</v>
      </c>
      <c r="K62" s="124">
        <v>0</v>
      </c>
    </row>
    <row r="63" spans="1:11" outlineLevel="1" x14ac:dyDescent="0.25">
      <c r="A63" s="819"/>
      <c r="B63" s="820"/>
      <c r="C63" s="820"/>
      <c r="D63" s="68" t="s">
        <v>33</v>
      </c>
      <c r="E63" s="72">
        <f t="shared" si="3"/>
        <v>0</v>
      </c>
      <c r="F63" s="122">
        <v>0</v>
      </c>
      <c r="G63" s="123">
        <v>0</v>
      </c>
      <c r="H63" s="298">
        <v>0</v>
      </c>
      <c r="I63" s="298">
        <v>0</v>
      </c>
      <c r="J63" s="298">
        <v>0</v>
      </c>
      <c r="K63" s="124">
        <v>0</v>
      </c>
    </row>
    <row r="64" spans="1:11" ht="15.75" outlineLevel="1" thickBot="1" x14ac:dyDescent="0.3">
      <c r="A64" s="819"/>
      <c r="B64" s="820"/>
      <c r="C64" s="820"/>
      <c r="D64" s="69" t="s">
        <v>34</v>
      </c>
      <c r="E64" s="73">
        <f t="shared" si="3"/>
        <v>0</v>
      </c>
      <c r="F64" s="125">
        <v>0</v>
      </c>
      <c r="G64" s="126">
        <v>0</v>
      </c>
      <c r="H64" s="299">
        <v>0</v>
      </c>
      <c r="I64" s="299">
        <v>0</v>
      </c>
      <c r="J64" s="299">
        <v>0</v>
      </c>
      <c r="K64" s="127">
        <v>0</v>
      </c>
    </row>
    <row r="65" spans="1:11" outlineLevel="1" x14ac:dyDescent="0.25">
      <c r="A65" s="819" t="s">
        <v>100</v>
      </c>
      <c r="B65" s="820"/>
      <c r="C65" s="820"/>
      <c r="D65" s="67" t="s">
        <v>25</v>
      </c>
      <c r="E65" s="72">
        <f t="shared" si="3"/>
        <v>0</v>
      </c>
      <c r="F65" s="119">
        <v>0</v>
      </c>
      <c r="G65" s="120">
        <v>0</v>
      </c>
      <c r="H65" s="297">
        <v>0</v>
      </c>
      <c r="I65" s="297">
        <v>0</v>
      </c>
      <c r="J65" s="297">
        <v>0</v>
      </c>
      <c r="K65" s="121">
        <v>0</v>
      </c>
    </row>
    <row r="66" spans="1:11" outlineLevel="1" x14ac:dyDescent="0.25">
      <c r="A66" s="819"/>
      <c r="B66" s="820"/>
      <c r="C66" s="820"/>
      <c r="D66" s="68" t="s">
        <v>26</v>
      </c>
      <c r="E66" s="72">
        <f t="shared" si="3"/>
        <v>0</v>
      </c>
      <c r="F66" s="122">
        <v>0</v>
      </c>
      <c r="G66" s="123">
        <v>0</v>
      </c>
      <c r="H66" s="298">
        <v>0</v>
      </c>
      <c r="I66" s="298">
        <v>0</v>
      </c>
      <c r="J66" s="298">
        <v>0</v>
      </c>
      <c r="K66" s="124">
        <v>0</v>
      </c>
    </row>
    <row r="67" spans="1:11" outlineLevel="1" x14ac:dyDescent="0.25">
      <c r="A67" s="819"/>
      <c r="B67" s="820"/>
      <c r="C67" s="820"/>
      <c r="D67" s="68" t="s">
        <v>27</v>
      </c>
      <c r="E67" s="72">
        <f t="shared" ref="E67:E84" si="4">SUM(F67:K67)</f>
        <v>0</v>
      </c>
      <c r="F67" s="122">
        <v>0</v>
      </c>
      <c r="G67" s="123">
        <v>0</v>
      </c>
      <c r="H67" s="298">
        <v>0</v>
      </c>
      <c r="I67" s="298">
        <v>0</v>
      </c>
      <c r="J67" s="298">
        <v>0</v>
      </c>
      <c r="K67" s="124">
        <v>0</v>
      </c>
    </row>
    <row r="68" spans="1:11" outlineLevel="1" x14ac:dyDescent="0.25">
      <c r="A68" s="819"/>
      <c r="B68" s="820"/>
      <c r="C68" s="820"/>
      <c r="D68" s="68" t="s">
        <v>28</v>
      </c>
      <c r="E68" s="72">
        <f t="shared" si="4"/>
        <v>0</v>
      </c>
      <c r="F68" s="122">
        <v>0</v>
      </c>
      <c r="G68" s="123">
        <v>0</v>
      </c>
      <c r="H68" s="298">
        <v>0</v>
      </c>
      <c r="I68" s="298">
        <v>0</v>
      </c>
      <c r="J68" s="298">
        <v>0</v>
      </c>
      <c r="K68" s="124">
        <v>0</v>
      </c>
    </row>
    <row r="69" spans="1:11" outlineLevel="1" x14ac:dyDescent="0.25">
      <c r="A69" s="819"/>
      <c r="B69" s="820"/>
      <c r="C69" s="820"/>
      <c r="D69" s="68" t="s">
        <v>29</v>
      </c>
      <c r="E69" s="72">
        <f t="shared" si="4"/>
        <v>0</v>
      </c>
      <c r="F69" s="122">
        <v>0</v>
      </c>
      <c r="G69" s="123">
        <v>0</v>
      </c>
      <c r="H69" s="298">
        <v>0</v>
      </c>
      <c r="I69" s="298">
        <v>0</v>
      </c>
      <c r="J69" s="298">
        <v>0</v>
      </c>
      <c r="K69" s="124">
        <v>0</v>
      </c>
    </row>
    <row r="70" spans="1:11" outlineLevel="1" x14ac:dyDescent="0.25">
      <c r="A70" s="819"/>
      <c r="B70" s="820"/>
      <c r="C70" s="820"/>
      <c r="D70" s="68" t="s">
        <v>30</v>
      </c>
      <c r="E70" s="72">
        <f t="shared" si="4"/>
        <v>0</v>
      </c>
      <c r="F70" s="122">
        <v>0</v>
      </c>
      <c r="G70" s="123">
        <v>0</v>
      </c>
      <c r="H70" s="298">
        <v>0</v>
      </c>
      <c r="I70" s="298">
        <v>0</v>
      </c>
      <c r="J70" s="298">
        <v>0</v>
      </c>
      <c r="K70" s="124">
        <v>0</v>
      </c>
    </row>
    <row r="71" spans="1:11" outlineLevel="1" x14ac:dyDescent="0.25">
      <c r="A71" s="819"/>
      <c r="B71" s="820"/>
      <c r="C71" s="820"/>
      <c r="D71" s="68" t="s">
        <v>31</v>
      </c>
      <c r="E71" s="72">
        <f t="shared" si="4"/>
        <v>0</v>
      </c>
      <c r="F71" s="122">
        <v>0</v>
      </c>
      <c r="G71" s="123">
        <v>0</v>
      </c>
      <c r="H71" s="298">
        <v>0</v>
      </c>
      <c r="I71" s="298">
        <v>0</v>
      </c>
      <c r="J71" s="298">
        <v>0</v>
      </c>
      <c r="K71" s="124">
        <v>0</v>
      </c>
    </row>
    <row r="72" spans="1:11" outlineLevel="1" x14ac:dyDescent="0.25">
      <c r="A72" s="819"/>
      <c r="B72" s="820"/>
      <c r="C72" s="820"/>
      <c r="D72" s="68" t="s">
        <v>32</v>
      </c>
      <c r="E72" s="72">
        <f t="shared" si="4"/>
        <v>0</v>
      </c>
      <c r="F72" s="122">
        <v>0</v>
      </c>
      <c r="G72" s="123">
        <v>0</v>
      </c>
      <c r="H72" s="298">
        <v>0</v>
      </c>
      <c r="I72" s="298">
        <v>0</v>
      </c>
      <c r="J72" s="298">
        <v>0</v>
      </c>
      <c r="K72" s="124">
        <v>0</v>
      </c>
    </row>
    <row r="73" spans="1:11" outlineLevel="1" x14ac:dyDescent="0.25">
      <c r="A73" s="819"/>
      <c r="B73" s="820"/>
      <c r="C73" s="820"/>
      <c r="D73" s="68" t="s">
        <v>33</v>
      </c>
      <c r="E73" s="72">
        <f t="shared" si="4"/>
        <v>0</v>
      </c>
      <c r="F73" s="122">
        <v>0</v>
      </c>
      <c r="G73" s="123">
        <v>0</v>
      </c>
      <c r="H73" s="298">
        <v>0</v>
      </c>
      <c r="I73" s="298">
        <v>0</v>
      </c>
      <c r="J73" s="298">
        <v>0</v>
      </c>
      <c r="K73" s="124">
        <v>0</v>
      </c>
    </row>
    <row r="74" spans="1:11" ht="15.75" outlineLevel="1" thickBot="1" x14ac:dyDescent="0.3">
      <c r="A74" s="819"/>
      <c r="B74" s="820"/>
      <c r="C74" s="820"/>
      <c r="D74" s="69" t="s">
        <v>34</v>
      </c>
      <c r="E74" s="73">
        <f t="shared" si="4"/>
        <v>0</v>
      </c>
      <c r="F74" s="125">
        <v>0</v>
      </c>
      <c r="G74" s="126">
        <v>0</v>
      </c>
      <c r="H74" s="299">
        <v>0</v>
      </c>
      <c r="I74" s="299">
        <v>0</v>
      </c>
      <c r="J74" s="299">
        <v>0</v>
      </c>
      <c r="K74" s="127">
        <v>0</v>
      </c>
    </row>
    <row r="75" spans="1:11" outlineLevel="1" x14ac:dyDescent="0.25">
      <c r="A75" s="819" t="s">
        <v>95</v>
      </c>
      <c r="B75" s="820" t="s">
        <v>81</v>
      </c>
      <c r="C75" s="820">
        <v>637001</v>
      </c>
      <c r="D75" s="67" t="s">
        <v>25</v>
      </c>
      <c r="E75" s="72">
        <f t="shared" si="4"/>
        <v>0</v>
      </c>
      <c r="F75" s="119">
        <v>0</v>
      </c>
      <c r="G75" s="120">
        <v>0</v>
      </c>
      <c r="H75" s="297">
        <v>0</v>
      </c>
      <c r="I75" s="297">
        <v>0</v>
      </c>
      <c r="J75" s="297">
        <v>0</v>
      </c>
      <c r="K75" s="121">
        <v>0</v>
      </c>
    </row>
    <row r="76" spans="1:11" outlineLevel="1" x14ac:dyDescent="0.25">
      <c r="A76" s="819"/>
      <c r="B76" s="820"/>
      <c r="C76" s="820"/>
      <c r="D76" s="68" t="s">
        <v>26</v>
      </c>
      <c r="E76" s="72">
        <f t="shared" si="4"/>
        <v>0</v>
      </c>
      <c r="F76" s="122">
        <v>0</v>
      </c>
      <c r="G76" s="123">
        <v>0</v>
      </c>
      <c r="H76" s="298">
        <v>0</v>
      </c>
      <c r="I76" s="298">
        <v>0</v>
      </c>
      <c r="J76" s="298">
        <v>0</v>
      </c>
      <c r="K76" s="124">
        <v>0</v>
      </c>
    </row>
    <row r="77" spans="1:11" outlineLevel="1" x14ac:dyDescent="0.25">
      <c r="A77" s="819"/>
      <c r="B77" s="820"/>
      <c r="C77" s="820"/>
      <c r="D77" s="68" t="s">
        <v>27</v>
      </c>
      <c r="E77" s="72">
        <f t="shared" si="4"/>
        <v>0</v>
      </c>
      <c r="F77" s="122">
        <v>0</v>
      </c>
      <c r="G77" s="123">
        <v>0</v>
      </c>
      <c r="H77" s="298">
        <v>0</v>
      </c>
      <c r="I77" s="298">
        <v>0</v>
      </c>
      <c r="J77" s="298">
        <v>0</v>
      </c>
      <c r="K77" s="124">
        <v>0</v>
      </c>
    </row>
    <row r="78" spans="1:11" outlineLevel="1" x14ac:dyDescent="0.25">
      <c r="A78" s="819"/>
      <c r="B78" s="820"/>
      <c r="C78" s="820"/>
      <c r="D78" s="68" t="s">
        <v>28</v>
      </c>
      <c r="E78" s="72">
        <f t="shared" si="4"/>
        <v>0</v>
      </c>
      <c r="F78" s="122">
        <v>0</v>
      </c>
      <c r="G78" s="123">
        <v>0</v>
      </c>
      <c r="H78" s="298">
        <v>0</v>
      </c>
      <c r="I78" s="298">
        <v>0</v>
      </c>
      <c r="J78" s="298">
        <v>0</v>
      </c>
      <c r="K78" s="124">
        <v>0</v>
      </c>
    </row>
    <row r="79" spans="1:11" outlineLevel="1" x14ac:dyDescent="0.25">
      <c r="A79" s="819"/>
      <c r="B79" s="820"/>
      <c r="C79" s="820"/>
      <c r="D79" s="68" t="s">
        <v>29</v>
      </c>
      <c r="E79" s="72">
        <f t="shared" si="4"/>
        <v>0</v>
      </c>
      <c r="F79" s="122">
        <v>0</v>
      </c>
      <c r="G79" s="123">
        <v>0</v>
      </c>
      <c r="H79" s="298">
        <v>0</v>
      </c>
      <c r="I79" s="298">
        <v>0</v>
      </c>
      <c r="J79" s="298">
        <v>0</v>
      </c>
      <c r="K79" s="124">
        <v>0</v>
      </c>
    </row>
    <row r="80" spans="1:11" outlineLevel="1" x14ac:dyDescent="0.25">
      <c r="A80" s="819"/>
      <c r="B80" s="820"/>
      <c r="C80" s="820"/>
      <c r="D80" s="68" t="s">
        <v>30</v>
      </c>
      <c r="E80" s="72">
        <f t="shared" si="4"/>
        <v>0</v>
      </c>
      <c r="F80" s="122">
        <v>0</v>
      </c>
      <c r="G80" s="123">
        <v>0</v>
      </c>
      <c r="H80" s="298">
        <v>0</v>
      </c>
      <c r="I80" s="298">
        <v>0</v>
      </c>
      <c r="J80" s="298">
        <v>0</v>
      </c>
      <c r="K80" s="124">
        <v>0</v>
      </c>
    </row>
    <row r="81" spans="1:11" outlineLevel="1" x14ac:dyDescent="0.25">
      <c r="A81" s="819"/>
      <c r="B81" s="820"/>
      <c r="C81" s="820"/>
      <c r="D81" s="68" t="s">
        <v>31</v>
      </c>
      <c r="E81" s="72">
        <f t="shared" si="4"/>
        <v>0</v>
      </c>
      <c r="F81" s="122">
        <v>0</v>
      </c>
      <c r="G81" s="123">
        <v>0</v>
      </c>
      <c r="H81" s="298">
        <v>0</v>
      </c>
      <c r="I81" s="298">
        <v>0</v>
      </c>
      <c r="J81" s="298">
        <v>0</v>
      </c>
      <c r="K81" s="124">
        <v>0</v>
      </c>
    </row>
    <row r="82" spans="1:11" outlineLevel="1" x14ac:dyDescent="0.25">
      <c r="A82" s="819"/>
      <c r="B82" s="820"/>
      <c r="C82" s="820"/>
      <c r="D82" s="68" t="s">
        <v>32</v>
      </c>
      <c r="E82" s="72">
        <f t="shared" si="4"/>
        <v>0</v>
      </c>
      <c r="F82" s="122">
        <v>0</v>
      </c>
      <c r="G82" s="123">
        <v>0</v>
      </c>
      <c r="H82" s="298">
        <v>0</v>
      </c>
      <c r="I82" s="298">
        <v>0</v>
      </c>
      <c r="J82" s="298">
        <v>0</v>
      </c>
      <c r="K82" s="124">
        <v>0</v>
      </c>
    </row>
    <row r="83" spans="1:11" outlineLevel="1" x14ac:dyDescent="0.25">
      <c r="A83" s="819"/>
      <c r="B83" s="820"/>
      <c r="C83" s="820"/>
      <c r="D83" s="68" t="s">
        <v>33</v>
      </c>
      <c r="E83" s="72">
        <f t="shared" si="4"/>
        <v>0</v>
      </c>
      <c r="F83" s="122">
        <v>0</v>
      </c>
      <c r="G83" s="123">
        <v>0</v>
      </c>
      <c r="H83" s="298">
        <v>0</v>
      </c>
      <c r="I83" s="298">
        <v>0</v>
      </c>
      <c r="J83" s="298">
        <v>0</v>
      </c>
      <c r="K83" s="124">
        <v>0</v>
      </c>
    </row>
    <row r="84" spans="1:11" ht="15.75" outlineLevel="1" thickBot="1" x14ac:dyDescent="0.3">
      <c r="A84" s="819"/>
      <c r="B84" s="820"/>
      <c r="C84" s="820"/>
      <c r="D84" s="69" t="s">
        <v>34</v>
      </c>
      <c r="E84" s="73">
        <f t="shared" si="4"/>
        <v>0</v>
      </c>
      <c r="F84" s="125">
        <v>0</v>
      </c>
      <c r="G84" s="126">
        <v>0</v>
      </c>
      <c r="H84" s="299">
        <v>0</v>
      </c>
      <c r="I84" s="299">
        <v>0</v>
      </c>
      <c r="J84" s="299">
        <v>0</v>
      </c>
      <c r="K84" s="127">
        <v>0</v>
      </c>
    </row>
  </sheetData>
  <mergeCells count="27">
    <mergeCell ref="A1:D1"/>
    <mergeCell ref="A65:A74"/>
    <mergeCell ref="B65:B74"/>
    <mergeCell ref="C65:C74"/>
    <mergeCell ref="A75:A84"/>
    <mergeCell ref="B75:B84"/>
    <mergeCell ref="C75:C84"/>
    <mergeCell ref="A45:A54"/>
    <mergeCell ref="B45:B54"/>
    <mergeCell ref="C45:C54"/>
    <mergeCell ref="A55:A64"/>
    <mergeCell ref="B55:B64"/>
    <mergeCell ref="C55:C64"/>
    <mergeCell ref="A35:A44"/>
    <mergeCell ref="B35:B44"/>
    <mergeCell ref="C35:C44"/>
    <mergeCell ref="A3:C3"/>
    <mergeCell ref="A24:A33"/>
    <mergeCell ref="B24:B33"/>
    <mergeCell ref="C24:C33"/>
    <mergeCell ref="A34:C34"/>
    <mergeCell ref="A4:A13"/>
    <mergeCell ref="B4:B13"/>
    <mergeCell ref="C4:C13"/>
    <mergeCell ref="A14:A23"/>
    <mergeCell ref="B14:B23"/>
    <mergeCell ref="C14:C23"/>
  </mergeCells>
  <pageMargins left="0.7" right="0.7" top="0.75" bottom="0.75" header="0.3" footer="0.3"/>
  <pageSetup paperSize="9" scale="39" orientation="portrait" r:id="rId1"/>
  <ignoredErrors>
    <ignoredError sqref="E3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O97"/>
  <sheetViews>
    <sheetView view="pageBreakPreview" topLeftCell="C1" zoomScale="115" zoomScaleNormal="100" zoomScaleSheetLayoutView="115" workbookViewId="0">
      <selection activeCell="P14" sqref="P14"/>
    </sheetView>
  </sheetViews>
  <sheetFormatPr defaultColWidth="8.7109375" defaultRowHeight="12" x14ac:dyDescent="0.2"/>
  <cols>
    <col min="1" max="1" width="58.85546875" style="146" customWidth="1"/>
    <col min="2" max="2" width="13" style="146" customWidth="1"/>
    <col min="3" max="3" width="3.28515625" style="146" customWidth="1"/>
    <col min="4" max="31" width="3.7109375" style="146" customWidth="1"/>
    <col min="32" max="37" width="8" style="146" customWidth="1"/>
    <col min="38" max="38" width="10" style="146" customWidth="1"/>
    <col min="39" max="39" width="10.7109375" style="147" customWidth="1"/>
    <col min="40" max="41" width="10.7109375" style="146" customWidth="1"/>
    <col min="42" max="42" width="8.7109375" style="146" customWidth="1"/>
    <col min="43" max="16384" width="8.7109375" style="146"/>
  </cols>
  <sheetData>
    <row r="1" spans="1:41" ht="12.75" thickBot="1" x14ac:dyDescent="0.25"/>
    <row r="2" spans="1:41" ht="36.75" customHeight="1" x14ac:dyDescent="0.2">
      <c r="A2" s="682" t="s">
        <v>124</v>
      </c>
      <c r="B2" s="289" t="s">
        <v>1</v>
      </c>
      <c r="C2" s="281" t="s">
        <v>125</v>
      </c>
      <c r="D2" s="281" t="s">
        <v>126</v>
      </c>
      <c r="E2" s="281" t="s">
        <v>127</v>
      </c>
      <c r="F2" s="281" t="s">
        <v>128</v>
      </c>
      <c r="G2" s="281" t="s">
        <v>129</v>
      </c>
      <c r="H2" s="281" t="s">
        <v>130</v>
      </c>
      <c r="I2" s="281" t="s">
        <v>131</v>
      </c>
      <c r="J2" s="281" t="s">
        <v>132</v>
      </c>
      <c r="K2" s="281" t="s">
        <v>133</v>
      </c>
      <c r="L2" s="281" t="s">
        <v>134</v>
      </c>
      <c r="M2" s="281" t="s">
        <v>135</v>
      </c>
      <c r="N2" s="281" t="s">
        <v>136</v>
      </c>
      <c r="O2" s="280" t="s">
        <v>137</v>
      </c>
      <c r="P2" s="281" t="s">
        <v>138</v>
      </c>
      <c r="Q2" s="281" t="s">
        <v>139</v>
      </c>
      <c r="R2" s="281" t="s">
        <v>140</v>
      </c>
      <c r="S2" s="281" t="s">
        <v>141</v>
      </c>
      <c r="T2" s="281" t="s">
        <v>142</v>
      </c>
      <c r="U2" s="281" t="s">
        <v>143</v>
      </c>
      <c r="V2" s="281" t="s">
        <v>144</v>
      </c>
      <c r="W2" s="281" t="s">
        <v>145</v>
      </c>
      <c r="X2" s="281" t="s">
        <v>146</v>
      </c>
      <c r="Y2" s="281" t="s">
        <v>147</v>
      </c>
      <c r="Z2" s="280" t="s">
        <v>430</v>
      </c>
      <c r="AA2" s="281" t="s">
        <v>431</v>
      </c>
      <c r="AB2" s="281" t="s">
        <v>432</v>
      </c>
      <c r="AC2" s="281" t="s">
        <v>433</v>
      </c>
      <c r="AD2" s="281" t="s">
        <v>434</v>
      </c>
      <c r="AE2" s="282" t="s">
        <v>435</v>
      </c>
      <c r="AF2" s="645" t="s">
        <v>148</v>
      </c>
      <c r="AG2" s="646" t="s">
        <v>149</v>
      </c>
      <c r="AH2" s="646" t="s">
        <v>150</v>
      </c>
      <c r="AI2" s="646" t="s">
        <v>151</v>
      </c>
      <c r="AJ2" s="646" t="s">
        <v>152</v>
      </c>
      <c r="AK2" s="647" t="s">
        <v>153</v>
      </c>
      <c r="AL2" s="266" t="s">
        <v>154</v>
      </c>
      <c r="AM2" s="259" t="s">
        <v>155</v>
      </c>
      <c r="AN2" s="148"/>
      <c r="AO2" s="148"/>
    </row>
    <row r="3" spans="1:41" ht="14.25" customHeight="1" thickBot="1" x14ac:dyDescent="0.25">
      <c r="A3" s="151"/>
      <c r="B3" s="149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3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3"/>
      <c r="AA3" s="284"/>
      <c r="AB3" s="284"/>
      <c r="AC3" s="284"/>
      <c r="AD3" s="284"/>
      <c r="AE3" s="285"/>
      <c r="AF3" s="268"/>
      <c r="AG3" s="269"/>
      <c r="AH3" s="269"/>
      <c r="AI3" s="269"/>
      <c r="AJ3" s="269"/>
      <c r="AK3" s="277"/>
      <c r="AL3" s="268"/>
      <c r="AM3" s="277"/>
      <c r="AN3" s="153"/>
      <c r="AO3" s="153"/>
    </row>
    <row r="4" spans="1:41" ht="16.5" x14ac:dyDescent="0.2">
      <c r="A4" s="683" t="s">
        <v>379</v>
      </c>
      <c r="B4" s="687"/>
      <c r="C4" s="686" t="s">
        <v>267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689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274"/>
      <c r="AA4" s="275"/>
      <c r="AB4" s="275"/>
      <c r="AC4" s="275"/>
      <c r="AD4" s="275"/>
      <c r="AE4" s="276"/>
      <c r="AF4" s="270"/>
      <c r="AG4" s="271"/>
      <c r="AH4" s="271"/>
      <c r="AI4" s="271"/>
      <c r="AJ4" s="271"/>
      <c r="AK4" s="692"/>
      <c r="AL4" s="575"/>
      <c r="AM4" s="576"/>
      <c r="AN4" s="155"/>
    </row>
    <row r="5" spans="1:41" ht="16.5" x14ac:dyDescent="0.2">
      <c r="A5" s="684" t="s">
        <v>321</v>
      </c>
      <c r="B5" s="687"/>
      <c r="C5" s="275"/>
      <c r="D5" s="275"/>
      <c r="E5" s="275">
        <v>1</v>
      </c>
      <c r="F5" s="275">
        <v>1</v>
      </c>
      <c r="G5" s="275">
        <v>1</v>
      </c>
      <c r="H5" s="275"/>
      <c r="I5" s="275"/>
      <c r="J5" s="275"/>
      <c r="K5" s="275"/>
      <c r="L5" s="275"/>
      <c r="M5" s="275"/>
      <c r="N5" s="275"/>
      <c r="O5" s="274"/>
      <c r="P5" s="154"/>
      <c r="Q5" s="154"/>
      <c r="R5" s="154"/>
      <c r="S5" s="275"/>
      <c r="T5" s="275"/>
      <c r="U5" s="275"/>
      <c r="V5" s="275"/>
      <c r="W5" s="275"/>
      <c r="X5" s="275"/>
      <c r="Y5" s="275"/>
      <c r="Z5" s="274"/>
      <c r="AA5" s="275"/>
      <c r="AB5" s="275"/>
      <c r="AC5" s="275"/>
      <c r="AD5" s="275"/>
      <c r="AE5" s="276"/>
      <c r="AF5" s="579">
        <f t="shared" ref="AF5:AF36" si="0">COUNTA(C5:AE5)*21</f>
        <v>63</v>
      </c>
      <c r="AG5" s="580">
        <f t="shared" ref="AG5:AG36" si="1">COUNTA(C5:AE5)*21</f>
        <v>63</v>
      </c>
      <c r="AH5" s="287"/>
      <c r="AI5" s="287">
        <v>1</v>
      </c>
      <c r="AJ5" s="287"/>
      <c r="AK5" s="693">
        <f>Zdroje!D$9</f>
        <v>840</v>
      </c>
      <c r="AL5" s="577">
        <f t="shared" ref="AL5:AM8" si="2">AF5*AH5*AJ5</f>
        <v>0</v>
      </c>
      <c r="AM5" s="578">
        <f t="shared" si="2"/>
        <v>52920</v>
      </c>
      <c r="AN5" s="155"/>
    </row>
    <row r="6" spans="1:41" ht="16.5" x14ac:dyDescent="0.2">
      <c r="A6" s="684" t="s">
        <v>156</v>
      </c>
      <c r="B6" s="687"/>
      <c r="C6" s="275"/>
      <c r="D6" s="275"/>
      <c r="E6" s="275"/>
      <c r="F6" s="275"/>
      <c r="G6" s="275">
        <v>1</v>
      </c>
      <c r="H6" s="275">
        <v>1</v>
      </c>
      <c r="I6" s="275">
        <v>1</v>
      </c>
      <c r="J6" s="275">
        <v>1</v>
      </c>
      <c r="K6" s="275">
        <v>1</v>
      </c>
      <c r="L6" s="275">
        <v>1</v>
      </c>
      <c r="M6" s="275"/>
      <c r="N6" s="275"/>
      <c r="O6" s="274"/>
      <c r="P6" s="154"/>
      <c r="Q6" s="154"/>
      <c r="R6" s="154"/>
      <c r="S6" s="275"/>
      <c r="T6" s="275"/>
      <c r="U6" s="275"/>
      <c r="V6" s="275"/>
      <c r="W6" s="275"/>
      <c r="X6" s="275"/>
      <c r="Y6" s="275"/>
      <c r="Z6" s="274"/>
      <c r="AA6" s="275"/>
      <c r="AB6" s="275"/>
      <c r="AC6" s="275"/>
      <c r="AD6" s="275"/>
      <c r="AE6" s="276"/>
      <c r="AF6" s="579">
        <f t="shared" si="0"/>
        <v>126</v>
      </c>
      <c r="AG6" s="580">
        <f t="shared" si="1"/>
        <v>126</v>
      </c>
      <c r="AH6" s="287"/>
      <c r="AI6" s="287">
        <v>1.5</v>
      </c>
      <c r="AJ6" s="287"/>
      <c r="AK6" s="693">
        <f>Zdroje!D$7</f>
        <v>732</v>
      </c>
      <c r="AL6" s="577">
        <f t="shared" si="2"/>
        <v>0</v>
      </c>
      <c r="AM6" s="578">
        <f t="shared" si="2"/>
        <v>138348</v>
      </c>
      <c r="AN6" s="155"/>
    </row>
    <row r="7" spans="1:41" ht="16.5" x14ac:dyDescent="0.2">
      <c r="A7" s="684" t="s">
        <v>157</v>
      </c>
      <c r="B7" s="687"/>
      <c r="C7" s="275"/>
      <c r="D7" s="275"/>
      <c r="E7" s="275"/>
      <c r="F7" s="275"/>
      <c r="G7" s="275"/>
      <c r="H7" s="275"/>
      <c r="I7" s="275"/>
      <c r="J7" s="275"/>
      <c r="K7" s="275">
        <v>1</v>
      </c>
      <c r="L7" s="275">
        <v>1</v>
      </c>
      <c r="M7" s="275">
        <v>1</v>
      </c>
      <c r="N7" s="275">
        <v>1</v>
      </c>
      <c r="O7" s="274"/>
      <c r="P7" s="154"/>
      <c r="Q7" s="154"/>
      <c r="R7" s="154"/>
      <c r="S7" s="275"/>
      <c r="T7" s="275"/>
      <c r="U7" s="275"/>
      <c r="V7" s="275"/>
      <c r="W7" s="275"/>
      <c r="X7" s="275"/>
      <c r="Y7" s="275"/>
      <c r="Z7" s="274"/>
      <c r="AA7" s="275"/>
      <c r="AB7" s="275"/>
      <c r="AC7" s="275"/>
      <c r="AD7" s="275"/>
      <c r="AE7" s="276"/>
      <c r="AF7" s="579">
        <f t="shared" si="0"/>
        <v>84</v>
      </c>
      <c r="AG7" s="580">
        <f t="shared" si="1"/>
        <v>84</v>
      </c>
      <c r="AH7" s="287"/>
      <c r="AI7" s="287">
        <v>1</v>
      </c>
      <c r="AJ7" s="287"/>
      <c r="AK7" s="693">
        <f>Zdroje!D$6</f>
        <v>564</v>
      </c>
      <c r="AL7" s="577">
        <f t="shared" si="2"/>
        <v>0</v>
      </c>
      <c r="AM7" s="578">
        <f t="shared" si="2"/>
        <v>47376</v>
      </c>
      <c r="AN7" s="155"/>
    </row>
    <row r="8" spans="1:41" ht="13.35" customHeight="1" x14ac:dyDescent="0.2">
      <c r="A8" s="684" t="s">
        <v>158</v>
      </c>
      <c r="B8" s="687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>
        <v>1</v>
      </c>
      <c r="O8" s="274">
        <v>1</v>
      </c>
      <c r="P8" s="154"/>
      <c r="Q8" s="154"/>
      <c r="R8" s="154"/>
      <c r="S8" s="275"/>
      <c r="T8" s="275"/>
      <c r="U8" s="275"/>
      <c r="V8" s="275"/>
      <c r="W8" s="275"/>
      <c r="X8" s="275"/>
      <c r="Y8" s="275"/>
      <c r="Z8" s="274"/>
      <c r="AA8" s="275"/>
      <c r="AB8" s="275"/>
      <c r="AC8" s="275"/>
      <c r="AD8" s="275"/>
      <c r="AE8" s="276"/>
      <c r="AF8" s="579">
        <f t="shared" si="0"/>
        <v>42</v>
      </c>
      <c r="AG8" s="580">
        <f t="shared" si="1"/>
        <v>42</v>
      </c>
      <c r="AH8" s="287"/>
      <c r="AI8" s="287">
        <v>0.5</v>
      </c>
      <c r="AJ8" s="287"/>
      <c r="AK8" s="693">
        <f>Zdroje!D$7</f>
        <v>732</v>
      </c>
      <c r="AL8" s="577">
        <f t="shared" si="2"/>
        <v>0</v>
      </c>
      <c r="AM8" s="578">
        <f t="shared" si="2"/>
        <v>15372</v>
      </c>
      <c r="AN8" s="155"/>
    </row>
    <row r="9" spans="1:41" ht="13.35" customHeight="1" x14ac:dyDescent="0.2">
      <c r="A9" s="684"/>
      <c r="B9" s="687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4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4"/>
      <c r="AA9" s="275"/>
      <c r="AB9" s="275"/>
      <c r="AC9" s="275"/>
      <c r="AD9" s="275"/>
      <c r="AE9" s="276"/>
      <c r="AF9" s="579">
        <f t="shared" si="0"/>
        <v>0</v>
      </c>
      <c r="AG9" s="580">
        <f t="shared" si="1"/>
        <v>0</v>
      </c>
      <c r="AH9" s="287"/>
      <c r="AI9" s="287"/>
      <c r="AJ9" s="287"/>
      <c r="AK9" s="693"/>
      <c r="AL9" s="577"/>
      <c r="AM9" s="578">
        <f t="shared" ref="AM9:AM40" si="3">AG9*AI9*AK9</f>
        <v>0</v>
      </c>
      <c r="AN9" s="155"/>
    </row>
    <row r="10" spans="1:41" ht="16.5" x14ac:dyDescent="0.2">
      <c r="A10" s="683" t="s">
        <v>371</v>
      </c>
      <c r="B10" s="687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4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4"/>
      <c r="AA10" s="275"/>
      <c r="AB10" s="275"/>
      <c r="AC10" s="275"/>
      <c r="AD10" s="275"/>
      <c r="AE10" s="276"/>
      <c r="AF10" s="517">
        <f t="shared" si="0"/>
        <v>0</v>
      </c>
      <c r="AG10" s="518">
        <f t="shared" si="1"/>
        <v>0</v>
      </c>
      <c r="AH10" s="272"/>
      <c r="AI10" s="272"/>
      <c r="AJ10" s="272"/>
      <c r="AK10" s="694"/>
      <c r="AL10" s="577"/>
      <c r="AM10" s="578">
        <f t="shared" si="3"/>
        <v>0</v>
      </c>
      <c r="AN10" s="155"/>
    </row>
    <row r="11" spans="1:41" ht="16.5" x14ac:dyDescent="0.2">
      <c r="A11" s="684" t="s">
        <v>321</v>
      </c>
      <c r="B11" s="687"/>
      <c r="C11" s="275"/>
      <c r="D11" s="275"/>
      <c r="E11" s="275"/>
      <c r="F11" s="275"/>
      <c r="G11" s="275"/>
      <c r="H11" s="275"/>
      <c r="I11" s="275"/>
      <c r="J11" s="275">
        <v>1</v>
      </c>
      <c r="K11" s="275">
        <v>1</v>
      </c>
      <c r="L11" s="275">
        <v>1</v>
      </c>
      <c r="M11" s="275"/>
      <c r="N11" s="275"/>
      <c r="O11" s="274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4"/>
      <c r="AA11" s="275"/>
      <c r="AB11" s="275"/>
      <c r="AC11" s="275"/>
      <c r="AD11" s="275"/>
      <c r="AE11" s="276"/>
      <c r="AF11" s="579">
        <f t="shared" si="0"/>
        <v>63</v>
      </c>
      <c r="AG11" s="580">
        <f t="shared" si="1"/>
        <v>63</v>
      </c>
      <c r="AH11" s="287"/>
      <c r="AI11" s="287">
        <v>1</v>
      </c>
      <c r="AJ11" s="287"/>
      <c r="AK11" s="693">
        <f>Zdroje!D$9</f>
        <v>840</v>
      </c>
      <c r="AL11" s="577">
        <f>AF11*AH11*AJ11</f>
        <v>0</v>
      </c>
      <c r="AM11" s="578">
        <f t="shared" si="3"/>
        <v>52920</v>
      </c>
      <c r="AN11" s="155"/>
    </row>
    <row r="12" spans="1:41" ht="16.5" x14ac:dyDescent="0.2">
      <c r="A12" s="684" t="s">
        <v>156</v>
      </c>
      <c r="B12" s="687"/>
      <c r="C12" s="275"/>
      <c r="D12" s="275"/>
      <c r="E12" s="275"/>
      <c r="F12" s="275"/>
      <c r="G12" s="275"/>
      <c r="H12" s="275"/>
      <c r="I12" s="275"/>
      <c r="J12" s="275"/>
      <c r="K12" s="275"/>
      <c r="L12" s="275">
        <v>1</v>
      </c>
      <c r="M12" s="275">
        <v>1</v>
      </c>
      <c r="N12" s="275">
        <v>1</v>
      </c>
      <c r="O12" s="274">
        <v>1</v>
      </c>
      <c r="P12" s="275">
        <v>1</v>
      </c>
      <c r="Q12" s="275">
        <v>1</v>
      </c>
      <c r="R12" s="275">
        <v>1</v>
      </c>
      <c r="S12" s="275"/>
      <c r="T12" s="275"/>
      <c r="U12" s="275"/>
      <c r="V12" s="275"/>
      <c r="W12" s="275"/>
      <c r="X12" s="275"/>
      <c r="Y12" s="275"/>
      <c r="Z12" s="274"/>
      <c r="AA12" s="275"/>
      <c r="AB12" s="275"/>
      <c r="AC12" s="275"/>
      <c r="AD12" s="275"/>
      <c r="AE12" s="276"/>
      <c r="AF12" s="579">
        <f t="shared" si="0"/>
        <v>147</v>
      </c>
      <c r="AG12" s="580">
        <f t="shared" si="1"/>
        <v>147</v>
      </c>
      <c r="AH12" s="287"/>
      <c r="AI12" s="287">
        <v>2</v>
      </c>
      <c r="AJ12" s="287"/>
      <c r="AK12" s="693">
        <f>Zdroje!D$7</f>
        <v>732</v>
      </c>
      <c r="AL12" s="577">
        <f>AF12*AH12*AJ12</f>
        <v>0</v>
      </c>
      <c r="AM12" s="578">
        <f t="shared" si="3"/>
        <v>215208</v>
      </c>
      <c r="AN12" s="155"/>
    </row>
    <row r="13" spans="1:41" ht="16.5" x14ac:dyDescent="0.2">
      <c r="A13" s="684" t="s">
        <v>157</v>
      </c>
      <c r="B13" s="687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4"/>
      <c r="P13" s="275">
        <v>1</v>
      </c>
      <c r="Q13" s="275">
        <v>1</v>
      </c>
      <c r="R13" s="275">
        <v>1</v>
      </c>
      <c r="S13" s="275">
        <v>1</v>
      </c>
      <c r="T13" s="275">
        <v>1</v>
      </c>
      <c r="U13" s="275"/>
      <c r="V13" s="275"/>
      <c r="W13" s="275"/>
      <c r="X13" s="275"/>
      <c r="Y13" s="275"/>
      <c r="Z13" s="274"/>
      <c r="AA13" s="275"/>
      <c r="AB13" s="275"/>
      <c r="AC13" s="275"/>
      <c r="AD13" s="275"/>
      <c r="AE13" s="276"/>
      <c r="AF13" s="579">
        <f t="shared" si="0"/>
        <v>105</v>
      </c>
      <c r="AG13" s="580">
        <f t="shared" si="1"/>
        <v>105</v>
      </c>
      <c r="AH13" s="287"/>
      <c r="AI13" s="287">
        <v>1</v>
      </c>
      <c r="AJ13" s="287"/>
      <c r="AK13" s="693">
        <f>Zdroje!D$6</f>
        <v>564</v>
      </c>
      <c r="AL13" s="577">
        <f>AF13*AH13*AJ13</f>
        <v>0</v>
      </c>
      <c r="AM13" s="578">
        <f t="shared" si="3"/>
        <v>59220</v>
      </c>
      <c r="AN13" s="155"/>
    </row>
    <row r="14" spans="1:41" ht="16.5" x14ac:dyDescent="0.2">
      <c r="A14" s="684" t="s">
        <v>158</v>
      </c>
      <c r="B14" s="687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4"/>
      <c r="P14" s="275"/>
      <c r="Q14" s="275"/>
      <c r="R14" s="275"/>
      <c r="S14" s="275">
        <v>1</v>
      </c>
      <c r="T14" s="275">
        <v>1</v>
      </c>
      <c r="U14" s="275">
        <v>1</v>
      </c>
      <c r="V14" s="275">
        <v>1</v>
      </c>
      <c r="W14" s="275"/>
      <c r="X14" s="275"/>
      <c r="Y14" s="275"/>
      <c r="Z14" s="274"/>
      <c r="AA14" s="275"/>
      <c r="AB14" s="275"/>
      <c r="AC14" s="275"/>
      <c r="AD14" s="275"/>
      <c r="AE14" s="276"/>
      <c r="AF14" s="579">
        <f t="shared" si="0"/>
        <v>84</v>
      </c>
      <c r="AG14" s="580">
        <f t="shared" si="1"/>
        <v>84</v>
      </c>
      <c r="AH14" s="287"/>
      <c r="AI14" s="287">
        <v>1</v>
      </c>
      <c r="AJ14" s="287"/>
      <c r="AK14" s="693">
        <f>Zdroje!D$7</f>
        <v>732</v>
      </c>
      <c r="AL14" s="577">
        <f>AF14*AH14*AJ14</f>
        <v>0</v>
      </c>
      <c r="AM14" s="578">
        <f t="shared" si="3"/>
        <v>61488</v>
      </c>
      <c r="AN14" s="155"/>
    </row>
    <row r="15" spans="1:41" ht="16.5" x14ac:dyDescent="0.2">
      <c r="A15" s="684"/>
      <c r="B15" s="687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4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4"/>
      <c r="AA15" s="275"/>
      <c r="AB15" s="275"/>
      <c r="AC15" s="275"/>
      <c r="AD15" s="275"/>
      <c r="AE15" s="276"/>
      <c r="AF15" s="579">
        <f t="shared" si="0"/>
        <v>0</v>
      </c>
      <c r="AG15" s="580">
        <f t="shared" si="1"/>
        <v>0</v>
      </c>
      <c r="AH15" s="287"/>
      <c r="AI15" s="287"/>
      <c r="AJ15" s="287"/>
      <c r="AK15" s="693"/>
      <c r="AL15" s="577">
        <f>AF15*AH15*AJ15</f>
        <v>0</v>
      </c>
      <c r="AM15" s="578">
        <f t="shared" si="3"/>
        <v>0</v>
      </c>
      <c r="AN15" s="155"/>
    </row>
    <row r="16" spans="1:41" ht="16.5" x14ac:dyDescent="0.2">
      <c r="A16" s="683" t="s">
        <v>380</v>
      </c>
      <c r="B16" s="687"/>
      <c r="C16" s="275"/>
      <c r="D16" s="275"/>
      <c r="E16" s="275"/>
      <c r="F16" s="275"/>
      <c r="O16" s="691"/>
      <c r="P16" s="154"/>
      <c r="Q16" s="154"/>
      <c r="R16" s="154"/>
      <c r="S16" s="154"/>
      <c r="T16" s="154"/>
      <c r="U16" s="154"/>
      <c r="V16" s="275"/>
      <c r="W16" s="275"/>
      <c r="X16" s="275"/>
      <c r="Y16" s="275"/>
      <c r="Z16" s="274"/>
      <c r="AA16" s="275"/>
      <c r="AB16" s="275"/>
      <c r="AC16" s="275"/>
      <c r="AD16" s="275"/>
      <c r="AE16" s="276"/>
      <c r="AF16" s="517">
        <f t="shared" si="0"/>
        <v>0</v>
      </c>
      <c r="AG16" s="518">
        <f t="shared" si="1"/>
        <v>0</v>
      </c>
      <c r="AH16" s="272"/>
      <c r="AI16" s="272"/>
      <c r="AJ16" s="272"/>
      <c r="AK16" s="694"/>
      <c r="AL16" s="577"/>
      <c r="AM16" s="578">
        <f t="shared" si="3"/>
        <v>0</v>
      </c>
      <c r="AN16" s="155"/>
    </row>
    <row r="17" spans="1:40" ht="16.5" x14ac:dyDescent="0.2">
      <c r="A17" s="684" t="s">
        <v>321</v>
      </c>
      <c r="B17" s="687"/>
      <c r="C17" s="275"/>
      <c r="D17" s="275"/>
      <c r="E17" s="275"/>
      <c r="F17" s="275"/>
      <c r="G17" s="275"/>
      <c r="H17" s="275">
        <v>1</v>
      </c>
      <c r="I17" s="275">
        <v>1</v>
      </c>
      <c r="J17" s="275">
        <v>1</v>
      </c>
      <c r="K17" s="275">
        <v>1</v>
      </c>
      <c r="L17" s="275">
        <v>1</v>
      </c>
      <c r="M17" s="275">
        <v>1</v>
      </c>
      <c r="N17" s="275">
        <v>1</v>
      </c>
      <c r="O17" s="274">
        <v>1</v>
      </c>
      <c r="P17" s="275">
        <v>1</v>
      </c>
      <c r="Q17" s="275"/>
      <c r="R17" s="275"/>
      <c r="S17" s="275"/>
      <c r="T17" s="275"/>
      <c r="U17" s="275"/>
      <c r="V17" s="275"/>
      <c r="W17" s="275"/>
      <c r="X17" s="275"/>
      <c r="Y17" s="275"/>
      <c r="Z17" s="274"/>
      <c r="AA17" s="275"/>
      <c r="AB17" s="275"/>
      <c r="AC17" s="275"/>
      <c r="AD17" s="275"/>
      <c r="AE17" s="276"/>
      <c r="AF17" s="579">
        <f t="shared" si="0"/>
        <v>189</v>
      </c>
      <c r="AG17" s="580">
        <f t="shared" si="1"/>
        <v>189</v>
      </c>
      <c r="AH17" s="287"/>
      <c r="AI17" s="287">
        <v>3</v>
      </c>
      <c r="AJ17" s="287"/>
      <c r="AK17" s="693">
        <f>Zdroje!D$9</f>
        <v>840</v>
      </c>
      <c r="AL17" s="577">
        <f>AF17*AH17*AJ17</f>
        <v>0</v>
      </c>
      <c r="AM17" s="578">
        <f t="shared" si="3"/>
        <v>476280</v>
      </c>
      <c r="AN17" s="155"/>
    </row>
    <row r="18" spans="1:40" ht="16.5" x14ac:dyDescent="0.2">
      <c r="A18" s="684" t="s">
        <v>156</v>
      </c>
      <c r="B18" s="687"/>
      <c r="C18" s="275"/>
      <c r="D18" s="275"/>
      <c r="E18" s="275"/>
      <c r="F18" s="275"/>
      <c r="G18" s="275"/>
      <c r="H18" s="275"/>
      <c r="I18" s="275"/>
      <c r="J18" s="275">
        <v>1</v>
      </c>
      <c r="K18" s="275">
        <v>1</v>
      </c>
      <c r="L18" s="275">
        <v>1</v>
      </c>
      <c r="M18" s="275">
        <v>1</v>
      </c>
      <c r="N18" s="275">
        <v>1</v>
      </c>
      <c r="O18" s="274">
        <v>1</v>
      </c>
      <c r="P18" s="275">
        <v>1</v>
      </c>
      <c r="Q18" s="275">
        <v>1</v>
      </c>
      <c r="R18" s="275">
        <v>1</v>
      </c>
      <c r="S18" s="275">
        <v>1</v>
      </c>
      <c r="T18" s="275">
        <v>1</v>
      </c>
      <c r="U18" s="275">
        <v>1</v>
      </c>
      <c r="V18" s="275">
        <v>1</v>
      </c>
      <c r="W18" s="275">
        <v>1</v>
      </c>
      <c r="X18" s="275">
        <v>1</v>
      </c>
      <c r="Y18" s="275">
        <v>1</v>
      </c>
      <c r="Z18" s="274"/>
      <c r="AA18" s="275"/>
      <c r="AB18" s="275"/>
      <c r="AC18" s="275"/>
      <c r="AD18" s="275"/>
      <c r="AE18" s="276"/>
      <c r="AF18" s="579">
        <f t="shared" si="0"/>
        <v>336</v>
      </c>
      <c r="AG18" s="580">
        <f t="shared" si="1"/>
        <v>336</v>
      </c>
      <c r="AH18" s="287"/>
      <c r="AI18" s="287">
        <v>8</v>
      </c>
      <c r="AJ18" s="287"/>
      <c r="AK18" s="693">
        <f>Zdroje!D$7</f>
        <v>732</v>
      </c>
      <c r="AL18" s="577">
        <f>AF18*AH18*AJ18</f>
        <v>0</v>
      </c>
      <c r="AM18" s="578">
        <f t="shared" si="3"/>
        <v>1967616</v>
      </c>
      <c r="AN18" s="155"/>
    </row>
    <row r="19" spans="1:40" ht="16.5" x14ac:dyDescent="0.2">
      <c r="A19" s="684" t="s">
        <v>157</v>
      </c>
      <c r="B19" s="687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4"/>
      <c r="S19" s="275"/>
      <c r="T19" s="275">
        <v>1</v>
      </c>
      <c r="U19" s="275">
        <v>1</v>
      </c>
      <c r="V19" s="275">
        <v>1</v>
      </c>
      <c r="W19" s="275">
        <v>1</v>
      </c>
      <c r="X19" s="275">
        <v>1</v>
      </c>
      <c r="Y19" s="275">
        <v>1</v>
      </c>
      <c r="Z19" s="274">
        <v>1</v>
      </c>
      <c r="AA19" s="275">
        <v>1</v>
      </c>
      <c r="AB19" s="275"/>
      <c r="AC19" s="275"/>
      <c r="AD19" s="275"/>
      <c r="AE19" s="276"/>
      <c r="AF19" s="579">
        <f t="shared" si="0"/>
        <v>168</v>
      </c>
      <c r="AG19" s="580">
        <f t="shared" si="1"/>
        <v>168</v>
      </c>
      <c r="AH19" s="287"/>
      <c r="AI19" s="287">
        <v>3</v>
      </c>
      <c r="AJ19" s="287"/>
      <c r="AK19" s="693">
        <f>Zdroje!D$6</f>
        <v>564</v>
      </c>
      <c r="AL19" s="577">
        <f>AF19*AH19*AJ19</f>
        <v>0</v>
      </c>
      <c r="AM19" s="578">
        <f t="shared" si="3"/>
        <v>284256</v>
      </c>
      <c r="AN19" s="155"/>
    </row>
    <row r="20" spans="1:40" ht="16.5" x14ac:dyDescent="0.2">
      <c r="A20" s="684" t="s">
        <v>158</v>
      </c>
      <c r="B20" s="687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4"/>
      <c r="P20" s="275"/>
      <c r="Q20" s="275"/>
      <c r="R20" s="275"/>
      <c r="S20" s="275"/>
      <c r="T20" s="275"/>
      <c r="U20" s="275"/>
      <c r="V20" s="275"/>
      <c r="W20" s="275">
        <v>1</v>
      </c>
      <c r="X20" s="275">
        <v>1</v>
      </c>
      <c r="Y20" s="275">
        <v>1</v>
      </c>
      <c r="Z20" s="274">
        <v>1</v>
      </c>
      <c r="AA20" s="275">
        <v>1</v>
      </c>
      <c r="AB20" s="275">
        <v>1</v>
      </c>
      <c r="AC20" s="275">
        <v>1</v>
      </c>
      <c r="AD20" s="275"/>
      <c r="AE20" s="276"/>
      <c r="AF20" s="579">
        <f t="shared" si="0"/>
        <v>147</v>
      </c>
      <c r="AG20" s="580">
        <f t="shared" si="1"/>
        <v>147</v>
      </c>
      <c r="AH20" s="287"/>
      <c r="AI20" s="287">
        <v>2</v>
      </c>
      <c r="AJ20" s="287"/>
      <c r="AK20" s="693">
        <f>Zdroje!D$7</f>
        <v>732</v>
      </c>
      <c r="AL20" s="577">
        <f>AF20*AH20*AJ20</f>
        <v>0</v>
      </c>
      <c r="AM20" s="578">
        <f t="shared" si="3"/>
        <v>215208</v>
      </c>
      <c r="AN20" s="155"/>
    </row>
    <row r="21" spans="1:40" ht="16.5" x14ac:dyDescent="0.2">
      <c r="A21" s="685"/>
      <c r="B21" s="687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4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4"/>
      <c r="AA21" s="275"/>
      <c r="AB21" s="275"/>
      <c r="AC21" s="275"/>
      <c r="AD21" s="275"/>
      <c r="AE21" s="276"/>
      <c r="AF21" s="579">
        <f t="shared" si="0"/>
        <v>0</v>
      </c>
      <c r="AG21" s="580">
        <f t="shared" si="1"/>
        <v>0</v>
      </c>
      <c r="AH21" s="287"/>
      <c r="AI21" s="287"/>
      <c r="AJ21" s="287"/>
      <c r="AK21" s="693"/>
      <c r="AL21" s="577">
        <f>AF21*AH21*AJ21</f>
        <v>0</v>
      </c>
      <c r="AM21" s="578">
        <f t="shared" si="3"/>
        <v>0</v>
      </c>
      <c r="AN21" s="155"/>
    </row>
    <row r="22" spans="1:40" ht="16.5" x14ac:dyDescent="0.2">
      <c r="A22" s="683" t="s">
        <v>372</v>
      </c>
      <c r="B22" s="687"/>
      <c r="C22" s="275"/>
      <c r="D22" s="275"/>
      <c r="E22" s="275"/>
      <c r="F22" s="275"/>
      <c r="O22" s="691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691"/>
      <c r="AA22" s="154"/>
      <c r="AB22" s="154"/>
      <c r="AC22" s="275"/>
      <c r="AD22" s="275"/>
      <c r="AE22" s="276"/>
      <c r="AF22" s="517">
        <f t="shared" si="0"/>
        <v>0</v>
      </c>
      <c r="AG22" s="518">
        <f t="shared" si="1"/>
        <v>0</v>
      </c>
      <c r="AH22" s="272"/>
      <c r="AI22" s="272"/>
      <c r="AJ22" s="272"/>
      <c r="AK22" s="694"/>
      <c r="AL22" s="577"/>
      <c r="AM22" s="578">
        <f t="shared" si="3"/>
        <v>0</v>
      </c>
      <c r="AN22" s="155"/>
    </row>
    <row r="23" spans="1:40" ht="16.5" x14ac:dyDescent="0.2">
      <c r="A23" s="684" t="s">
        <v>321</v>
      </c>
      <c r="B23" s="687"/>
      <c r="C23" s="275"/>
      <c r="D23" s="275"/>
      <c r="E23" s="275"/>
      <c r="F23" s="275"/>
      <c r="G23" s="275">
        <v>1</v>
      </c>
      <c r="H23" s="275">
        <v>1</v>
      </c>
      <c r="I23" s="275">
        <v>1</v>
      </c>
      <c r="J23" s="275">
        <v>1</v>
      </c>
      <c r="K23" s="275">
        <v>1</v>
      </c>
      <c r="L23" s="275">
        <v>1</v>
      </c>
      <c r="M23" s="275">
        <v>1</v>
      </c>
      <c r="N23" s="275"/>
      <c r="O23" s="274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4"/>
      <c r="AA23" s="275"/>
      <c r="AB23" s="275"/>
      <c r="AC23" s="275"/>
      <c r="AD23" s="275"/>
      <c r="AE23" s="276"/>
      <c r="AF23" s="579">
        <f t="shared" si="0"/>
        <v>147</v>
      </c>
      <c r="AG23" s="580">
        <f t="shared" si="1"/>
        <v>147</v>
      </c>
      <c r="AH23" s="287"/>
      <c r="AI23" s="287">
        <v>4</v>
      </c>
      <c r="AJ23" s="287"/>
      <c r="AK23" s="693">
        <f>Zdroje!D$9</f>
        <v>840</v>
      </c>
      <c r="AL23" s="577">
        <f>AF23*AH23*AJ23</f>
        <v>0</v>
      </c>
      <c r="AM23" s="578">
        <f t="shared" si="3"/>
        <v>493920</v>
      </c>
      <c r="AN23" s="155"/>
    </row>
    <row r="24" spans="1:40" ht="16.5" x14ac:dyDescent="0.2">
      <c r="A24" s="684" t="s">
        <v>156</v>
      </c>
      <c r="B24" s="687"/>
      <c r="C24" s="275"/>
      <c r="D24" s="275"/>
      <c r="E24" s="275"/>
      <c r="F24" s="275"/>
      <c r="G24" s="275"/>
      <c r="H24" s="275"/>
      <c r="I24" s="275">
        <v>1</v>
      </c>
      <c r="J24" s="275">
        <v>1</v>
      </c>
      <c r="K24" s="275">
        <v>1</v>
      </c>
      <c r="L24" s="275">
        <v>1</v>
      </c>
      <c r="M24" s="275">
        <v>1</v>
      </c>
      <c r="N24" s="275">
        <v>1</v>
      </c>
      <c r="O24" s="274">
        <v>1</v>
      </c>
      <c r="P24" s="275">
        <v>1</v>
      </c>
      <c r="Q24" s="275">
        <v>1</v>
      </c>
      <c r="R24" s="275">
        <v>1</v>
      </c>
      <c r="S24" s="275"/>
      <c r="T24" s="275"/>
      <c r="U24" s="275"/>
      <c r="V24" s="275"/>
      <c r="W24" s="275"/>
      <c r="X24" s="275"/>
      <c r="Y24" s="275"/>
      <c r="Z24" s="274"/>
      <c r="AA24" s="275"/>
      <c r="AB24" s="275"/>
      <c r="AC24" s="275"/>
      <c r="AD24" s="275"/>
      <c r="AE24" s="276"/>
      <c r="AF24" s="579">
        <f t="shared" si="0"/>
        <v>210</v>
      </c>
      <c r="AG24" s="680">
        <f t="shared" si="1"/>
        <v>210</v>
      </c>
      <c r="AH24" s="287"/>
      <c r="AI24" s="287">
        <v>6</v>
      </c>
      <c r="AJ24" s="287"/>
      <c r="AK24" s="693">
        <f>Zdroje!D$7</f>
        <v>732</v>
      </c>
      <c r="AL24" s="577">
        <f>AF24*AH24*AJ24</f>
        <v>0</v>
      </c>
      <c r="AM24" s="578">
        <f t="shared" si="3"/>
        <v>922320</v>
      </c>
      <c r="AN24" s="155"/>
    </row>
    <row r="25" spans="1:40" ht="16.5" x14ac:dyDescent="0.2">
      <c r="A25" s="684" t="s">
        <v>157</v>
      </c>
      <c r="B25" s="687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>
        <v>1</v>
      </c>
      <c r="Q25" s="275">
        <v>1</v>
      </c>
      <c r="R25" s="275">
        <v>1</v>
      </c>
      <c r="S25" s="275">
        <v>1</v>
      </c>
      <c r="T25" s="275">
        <v>1</v>
      </c>
      <c r="U25" s="275"/>
      <c r="V25" s="275"/>
      <c r="Z25" s="274"/>
      <c r="AA25" s="275"/>
      <c r="AB25" s="275"/>
      <c r="AC25" s="275"/>
      <c r="AD25" s="275"/>
      <c r="AE25" s="276"/>
      <c r="AF25" s="678">
        <f t="shared" si="0"/>
        <v>105</v>
      </c>
      <c r="AG25" s="680">
        <f t="shared" si="1"/>
        <v>105</v>
      </c>
      <c r="AH25" s="679"/>
      <c r="AI25" s="287">
        <v>3</v>
      </c>
      <c r="AJ25" s="287"/>
      <c r="AK25" s="693">
        <f>Zdroje!D$6</f>
        <v>564</v>
      </c>
      <c r="AL25" s="577">
        <f>AF25*AH25*AJ25</f>
        <v>0</v>
      </c>
      <c r="AM25" s="578">
        <f t="shared" si="3"/>
        <v>177660</v>
      </c>
      <c r="AN25" s="155"/>
    </row>
    <row r="26" spans="1:40" ht="16.5" x14ac:dyDescent="0.2">
      <c r="A26" s="684" t="s">
        <v>158</v>
      </c>
      <c r="B26" s="687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4"/>
      <c r="P26" s="275"/>
      <c r="Q26" s="275"/>
      <c r="R26" s="275">
        <v>1</v>
      </c>
      <c r="S26" s="275">
        <v>1</v>
      </c>
      <c r="T26" s="275">
        <v>1</v>
      </c>
      <c r="U26" s="275">
        <v>1</v>
      </c>
      <c r="V26" s="275">
        <v>1</v>
      </c>
      <c r="W26" s="275"/>
      <c r="X26" s="275"/>
      <c r="Y26" s="275"/>
      <c r="Z26" s="691"/>
      <c r="AA26" s="154"/>
      <c r="AB26" s="154"/>
      <c r="AC26" s="275"/>
      <c r="AD26" s="275"/>
      <c r="AE26" s="276"/>
      <c r="AF26" s="678">
        <f t="shared" si="0"/>
        <v>105</v>
      </c>
      <c r="AG26" s="680">
        <f t="shared" si="1"/>
        <v>105</v>
      </c>
      <c r="AH26" s="679"/>
      <c r="AI26" s="287">
        <v>2</v>
      </c>
      <c r="AJ26" s="287"/>
      <c r="AK26" s="693">
        <f>Zdroje!D$7</f>
        <v>732</v>
      </c>
      <c r="AL26" s="577">
        <f>AF26*AH26*AJ26</f>
        <v>0</v>
      </c>
      <c r="AM26" s="578">
        <f t="shared" si="3"/>
        <v>153720</v>
      </c>
      <c r="AN26" s="155"/>
    </row>
    <row r="27" spans="1:40" ht="16.5" x14ac:dyDescent="0.2">
      <c r="A27" s="684"/>
      <c r="B27" s="687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4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4"/>
      <c r="AA27" s="275"/>
      <c r="AB27" s="275"/>
      <c r="AC27" s="275"/>
      <c r="AD27" s="275"/>
      <c r="AE27" s="276"/>
      <c r="AF27" s="678">
        <f t="shared" si="0"/>
        <v>0</v>
      </c>
      <c r="AG27" s="680">
        <f t="shared" si="1"/>
        <v>0</v>
      </c>
      <c r="AH27" s="287"/>
      <c r="AI27" s="287"/>
      <c r="AJ27" s="287"/>
      <c r="AK27" s="693"/>
      <c r="AL27" s="577">
        <f>AF27*AH27*AJ27</f>
        <v>0</v>
      </c>
      <c r="AM27" s="578">
        <f t="shared" si="3"/>
        <v>0</v>
      </c>
      <c r="AN27" s="155"/>
    </row>
    <row r="28" spans="1:40" ht="16.5" x14ac:dyDescent="0.2">
      <c r="A28" s="683" t="s">
        <v>373</v>
      </c>
      <c r="B28" s="687"/>
      <c r="C28" s="275"/>
      <c r="D28" s="275"/>
      <c r="E28" s="275"/>
      <c r="F28" s="275"/>
      <c r="G28" s="275"/>
      <c r="H28" s="275"/>
      <c r="O28" s="691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691"/>
      <c r="AA28" s="154"/>
      <c r="AB28" s="275"/>
      <c r="AC28" s="275"/>
      <c r="AD28" s="275"/>
      <c r="AE28" s="276"/>
      <c r="AF28" s="678">
        <f t="shared" si="0"/>
        <v>0</v>
      </c>
      <c r="AG28" s="680">
        <f t="shared" si="1"/>
        <v>0</v>
      </c>
      <c r="AH28" s="272"/>
      <c r="AI28" s="272"/>
      <c r="AJ28" s="272"/>
      <c r="AK28" s="694"/>
      <c r="AL28" s="577"/>
      <c r="AM28" s="578">
        <f t="shared" si="3"/>
        <v>0</v>
      </c>
      <c r="AN28" s="155"/>
    </row>
    <row r="29" spans="1:40" ht="16.5" x14ac:dyDescent="0.2">
      <c r="A29" s="684" t="s">
        <v>321</v>
      </c>
      <c r="B29" s="687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>
        <v>1</v>
      </c>
      <c r="N29" s="275">
        <v>1</v>
      </c>
      <c r="O29" s="274">
        <v>1</v>
      </c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4"/>
      <c r="AA29" s="275"/>
      <c r="AB29" s="275"/>
      <c r="AC29" s="275"/>
      <c r="AD29" s="275"/>
      <c r="AE29" s="276"/>
      <c r="AF29" s="678">
        <f t="shared" si="0"/>
        <v>63</v>
      </c>
      <c r="AG29" s="680">
        <f t="shared" si="1"/>
        <v>63</v>
      </c>
      <c r="AH29" s="287"/>
      <c r="AI29" s="287">
        <v>2</v>
      </c>
      <c r="AJ29" s="287"/>
      <c r="AK29" s="693">
        <f>Zdroje!D$9</f>
        <v>840</v>
      </c>
      <c r="AL29" s="577">
        <f>AF29*AH29*AJ29</f>
        <v>0</v>
      </c>
      <c r="AM29" s="578">
        <f t="shared" si="3"/>
        <v>105840</v>
      </c>
      <c r="AN29" s="155"/>
    </row>
    <row r="30" spans="1:40" ht="16.5" x14ac:dyDescent="0.2">
      <c r="A30" s="684" t="s">
        <v>156</v>
      </c>
      <c r="B30" s="687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4">
        <v>1</v>
      </c>
      <c r="P30" s="275">
        <v>1</v>
      </c>
      <c r="Q30" s="275">
        <v>1</v>
      </c>
      <c r="R30" s="275">
        <v>1</v>
      </c>
      <c r="S30" s="275">
        <v>1</v>
      </c>
      <c r="T30" s="275">
        <v>1</v>
      </c>
      <c r="U30" s="275"/>
      <c r="V30" s="275"/>
      <c r="W30" s="275"/>
      <c r="X30" s="275"/>
      <c r="Y30" s="275"/>
      <c r="Z30" s="274"/>
      <c r="AA30" s="275"/>
      <c r="AB30" s="275"/>
      <c r="AC30" s="275"/>
      <c r="AD30" s="275"/>
      <c r="AE30" s="276"/>
      <c r="AF30" s="678">
        <f t="shared" si="0"/>
        <v>126</v>
      </c>
      <c r="AG30" s="680">
        <f t="shared" si="1"/>
        <v>126</v>
      </c>
      <c r="AH30" s="287"/>
      <c r="AI30" s="287">
        <v>3</v>
      </c>
      <c r="AJ30" s="287"/>
      <c r="AK30" s="693">
        <f>Zdroje!D$7</f>
        <v>732</v>
      </c>
      <c r="AL30" s="577">
        <f>AF30*AH30*AJ30</f>
        <v>0</v>
      </c>
      <c r="AM30" s="578">
        <f t="shared" si="3"/>
        <v>276696</v>
      </c>
      <c r="AN30" s="155"/>
    </row>
    <row r="31" spans="1:40" ht="16.5" x14ac:dyDescent="0.2">
      <c r="A31" s="684" t="s">
        <v>157</v>
      </c>
      <c r="B31" s="687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4"/>
      <c r="P31" s="275"/>
      <c r="Q31" s="275"/>
      <c r="R31" s="275">
        <v>1</v>
      </c>
      <c r="S31" s="275">
        <v>1</v>
      </c>
      <c r="T31" s="275">
        <v>1</v>
      </c>
      <c r="U31" s="275">
        <v>1</v>
      </c>
      <c r="V31" s="275">
        <v>1</v>
      </c>
      <c r="W31" s="275">
        <v>1</v>
      </c>
      <c r="X31" s="275"/>
      <c r="Y31" s="275"/>
      <c r="Z31" s="274"/>
      <c r="AA31" s="275"/>
      <c r="AB31" s="275"/>
      <c r="AC31" s="275"/>
      <c r="AD31" s="275"/>
      <c r="AE31" s="276"/>
      <c r="AF31" s="678">
        <f t="shared" si="0"/>
        <v>126</v>
      </c>
      <c r="AG31" s="680">
        <f t="shared" si="1"/>
        <v>126</v>
      </c>
      <c r="AH31" s="287"/>
      <c r="AI31" s="287">
        <v>2</v>
      </c>
      <c r="AJ31" s="287"/>
      <c r="AK31" s="693">
        <f>Zdroje!D$6</f>
        <v>564</v>
      </c>
      <c r="AL31" s="577">
        <f>AF31*AH31*AJ31</f>
        <v>0</v>
      </c>
      <c r="AM31" s="578">
        <f t="shared" si="3"/>
        <v>142128</v>
      </c>
      <c r="AN31" s="155"/>
    </row>
    <row r="32" spans="1:40" ht="16.5" x14ac:dyDescent="0.2">
      <c r="A32" s="684" t="s">
        <v>158</v>
      </c>
      <c r="B32" s="687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4"/>
      <c r="P32" s="275"/>
      <c r="Q32" s="275"/>
      <c r="R32" s="275"/>
      <c r="S32" s="275"/>
      <c r="T32" s="275"/>
      <c r="U32" s="275"/>
      <c r="V32" s="275">
        <v>1</v>
      </c>
      <c r="W32" s="275">
        <v>1</v>
      </c>
      <c r="X32" s="275">
        <v>1</v>
      </c>
      <c r="Y32" s="275">
        <v>1</v>
      </c>
      <c r="Z32" s="274"/>
      <c r="AA32" s="275"/>
      <c r="AB32" s="275"/>
      <c r="AC32" s="275"/>
      <c r="AD32" s="275"/>
      <c r="AE32" s="276"/>
      <c r="AF32" s="678">
        <f t="shared" si="0"/>
        <v>84</v>
      </c>
      <c r="AG32" s="680">
        <f t="shared" si="1"/>
        <v>84</v>
      </c>
      <c r="AH32" s="287"/>
      <c r="AI32" s="287">
        <v>1</v>
      </c>
      <c r="AJ32" s="287"/>
      <c r="AK32" s="693">
        <f>Zdroje!D$7</f>
        <v>732</v>
      </c>
      <c r="AL32" s="577">
        <f>AF32*AH32*AJ32</f>
        <v>0</v>
      </c>
      <c r="AM32" s="578">
        <f t="shared" si="3"/>
        <v>61488</v>
      </c>
      <c r="AN32" s="155"/>
    </row>
    <row r="33" spans="1:41" ht="16.5" x14ac:dyDescent="0.2">
      <c r="A33" s="684"/>
      <c r="B33" s="687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4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4"/>
      <c r="AA33" s="275"/>
      <c r="AB33" s="275"/>
      <c r="AC33" s="275"/>
      <c r="AD33" s="275"/>
      <c r="AE33" s="276"/>
      <c r="AF33" s="678">
        <f t="shared" si="0"/>
        <v>0</v>
      </c>
      <c r="AG33" s="680">
        <f t="shared" si="1"/>
        <v>0</v>
      </c>
      <c r="AH33" s="287"/>
      <c r="AI33" s="287"/>
      <c r="AJ33" s="287"/>
      <c r="AK33" s="693"/>
      <c r="AL33" s="577">
        <f>AF33*AH33*AJ33</f>
        <v>0</v>
      </c>
      <c r="AM33" s="578">
        <f t="shared" si="3"/>
        <v>0</v>
      </c>
      <c r="AN33" s="155"/>
    </row>
    <row r="34" spans="1:41" ht="16.5" x14ac:dyDescent="0.2">
      <c r="A34" s="683" t="s">
        <v>381</v>
      </c>
      <c r="B34" s="687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4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4"/>
      <c r="AA34" s="275"/>
      <c r="AB34" s="275"/>
      <c r="AC34" s="275"/>
      <c r="AD34" s="275"/>
      <c r="AE34" s="276"/>
      <c r="AF34" s="678">
        <f t="shared" si="0"/>
        <v>0</v>
      </c>
      <c r="AG34" s="680">
        <f t="shared" si="1"/>
        <v>0</v>
      </c>
      <c r="AH34" s="272"/>
      <c r="AI34" s="272"/>
      <c r="AJ34" s="272"/>
      <c r="AK34" s="694"/>
      <c r="AL34" s="577"/>
      <c r="AM34" s="578">
        <f t="shared" si="3"/>
        <v>0</v>
      </c>
      <c r="AN34" s="155"/>
    </row>
    <row r="35" spans="1:41" ht="16.5" x14ac:dyDescent="0.2">
      <c r="A35" s="684" t="s">
        <v>321</v>
      </c>
      <c r="B35" s="687"/>
      <c r="C35" s="275"/>
      <c r="D35" s="275"/>
      <c r="E35" s="275"/>
      <c r="F35" s="275"/>
      <c r="G35" s="275"/>
      <c r="H35" s="275"/>
      <c r="I35" s="275"/>
      <c r="J35" s="275">
        <v>1</v>
      </c>
      <c r="K35" s="275">
        <v>1</v>
      </c>
      <c r="L35" s="275">
        <v>1</v>
      </c>
      <c r="M35" s="275">
        <v>1</v>
      </c>
      <c r="N35" s="275">
        <v>1</v>
      </c>
      <c r="O35" s="274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4"/>
      <c r="AA35" s="275"/>
      <c r="AB35" s="275"/>
      <c r="AC35" s="275"/>
      <c r="AD35" s="275"/>
      <c r="AE35" s="276"/>
      <c r="AF35" s="678">
        <f t="shared" si="0"/>
        <v>105</v>
      </c>
      <c r="AG35" s="680">
        <f t="shared" si="1"/>
        <v>105</v>
      </c>
      <c r="AH35" s="287"/>
      <c r="AI35" s="287">
        <v>1</v>
      </c>
      <c r="AJ35" s="287"/>
      <c r="AK35" s="693">
        <f>Zdroje!D$9</f>
        <v>840</v>
      </c>
      <c r="AL35" s="577">
        <f>AF35*AH35*AJ35</f>
        <v>0</v>
      </c>
      <c r="AM35" s="578">
        <f t="shared" si="3"/>
        <v>88200</v>
      </c>
      <c r="AN35" s="155"/>
    </row>
    <row r="36" spans="1:41" ht="16.5" x14ac:dyDescent="0.2">
      <c r="A36" s="684" t="s">
        <v>156</v>
      </c>
      <c r="B36" s="687"/>
      <c r="C36" s="275"/>
      <c r="D36" s="275"/>
      <c r="E36" s="275"/>
      <c r="F36" s="275"/>
      <c r="G36" s="275"/>
      <c r="H36" s="275"/>
      <c r="I36" s="275"/>
      <c r="J36" s="275"/>
      <c r="K36" s="275"/>
      <c r="L36" s="275">
        <v>1</v>
      </c>
      <c r="M36" s="275">
        <v>1</v>
      </c>
      <c r="N36" s="275">
        <v>1</v>
      </c>
      <c r="O36" s="274">
        <v>1</v>
      </c>
      <c r="P36" s="275">
        <v>1</v>
      </c>
      <c r="Q36" s="275">
        <v>1</v>
      </c>
      <c r="R36" s="275">
        <v>1</v>
      </c>
      <c r="S36" s="275"/>
      <c r="T36" s="275"/>
      <c r="U36" s="275"/>
      <c r="V36" s="275"/>
      <c r="W36" s="275"/>
      <c r="X36" s="275"/>
      <c r="Y36" s="275"/>
      <c r="Z36" s="274"/>
      <c r="AA36" s="275"/>
      <c r="AB36" s="275"/>
      <c r="AC36" s="275"/>
      <c r="AD36" s="275"/>
      <c r="AE36" s="276"/>
      <c r="AF36" s="678">
        <f t="shared" si="0"/>
        <v>147</v>
      </c>
      <c r="AG36" s="680">
        <f t="shared" si="1"/>
        <v>147</v>
      </c>
      <c r="AH36" s="287"/>
      <c r="AI36" s="287">
        <v>3</v>
      </c>
      <c r="AJ36" s="287"/>
      <c r="AK36" s="693">
        <f>Zdroje!D$7</f>
        <v>732</v>
      </c>
      <c r="AL36" s="577">
        <f>AF36*AH36*AJ36</f>
        <v>0</v>
      </c>
      <c r="AM36" s="578">
        <f t="shared" si="3"/>
        <v>322812</v>
      </c>
      <c r="AN36" s="155"/>
    </row>
    <row r="37" spans="1:41" ht="16.5" x14ac:dyDescent="0.2">
      <c r="A37" s="684" t="s">
        <v>157</v>
      </c>
      <c r="B37" s="687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4"/>
      <c r="P37" s="275">
        <v>1</v>
      </c>
      <c r="Q37" s="275">
        <v>1</v>
      </c>
      <c r="R37" s="275">
        <v>1</v>
      </c>
      <c r="S37" s="275">
        <v>1</v>
      </c>
      <c r="T37" s="275"/>
      <c r="U37" s="275"/>
      <c r="V37" s="275"/>
      <c r="W37" s="275"/>
      <c r="X37" s="275"/>
      <c r="Y37" s="275"/>
      <c r="Z37" s="274"/>
      <c r="AA37" s="275"/>
      <c r="AB37" s="275"/>
      <c r="AC37" s="275"/>
      <c r="AD37" s="275"/>
      <c r="AE37" s="276"/>
      <c r="AF37" s="678">
        <f t="shared" ref="AF37:AF68" si="4">COUNTA(C37:AE37)*21</f>
        <v>84</v>
      </c>
      <c r="AG37" s="680">
        <f t="shared" ref="AG37:AG68" si="5">COUNTA(C37:AE37)*21</f>
        <v>84</v>
      </c>
      <c r="AH37" s="287"/>
      <c r="AI37" s="287">
        <v>1</v>
      </c>
      <c r="AJ37" s="287"/>
      <c r="AK37" s="693">
        <f>Zdroje!D$6</f>
        <v>564</v>
      </c>
      <c r="AL37" s="577">
        <f>AF37*AH37*AJ37</f>
        <v>0</v>
      </c>
      <c r="AM37" s="578">
        <f t="shared" si="3"/>
        <v>47376</v>
      </c>
      <c r="AN37" s="155"/>
    </row>
    <row r="38" spans="1:41" ht="16.5" x14ac:dyDescent="0.2">
      <c r="A38" s="684" t="s">
        <v>158</v>
      </c>
      <c r="B38" s="687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4"/>
      <c r="P38" s="275"/>
      <c r="Q38" s="275"/>
      <c r="R38" s="275"/>
      <c r="S38" s="275">
        <v>1</v>
      </c>
      <c r="T38" s="275">
        <v>1</v>
      </c>
      <c r="U38" s="275"/>
      <c r="V38" s="275"/>
      <c r="W38" s="275"/>
      <c r="X38" s="275"/>
      <c r="Y38" s="275"/>
      <c r="Z38" s="274"/>
      <c r="AA38" s="275"/>
      <c r="AB38" s="275"/>
      <c r="AC38" s="275"/>
      <c r="AD38" s="275"/>
      <c r="AE38" s="276"/>
      <c r="AF38" s="678">
        <f t="shared" si="4"/>
        <v>42</v>
      </c>
      <c r="AG38" s="680">
        <f t="shared" si="5"/>
        <v>42</v>
      </c>
      <c r="AH38" s="287"/>
      <c r="AI38" s="287">
        <v>0.5</v>
      </c>
      <c r="AJ38" s="287"/>
      <c r="AK38" s="693">
        <f>Zdroje!D$7</f>
        <v>732</v>
      </c>
      <c r="AL38" s="577">
        <f>AF38*AH38*AJ38</f>
        <v>0</v>
      </c>
      <c r="AM38" s="578">
        <f t="shared" si="3"/>
        <v>15372</v>
      </c>
      <c r="AN38" s="155"/>
    </row>
    <row r="39" spans="1:41" ht="16.5" x14ac:dyDescent="0.2">
      <c r="A39" s="684"/>
      <c r="B39" s="687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4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4"/>
      <c r="AA39" s="275"/>
      <c r="AB39" s="275"/>
      <c r="AC39" s="275"/>
      <c r="AD39" s="275"/>
      <c r="AE39" s="276"/>
      <c r="AF39" s="678">
        <f t="shared" si="4"/>
        <v>0</v>
      </c>
      <c r="AG39" s="680">
        <f t="shared" si="5"/>
        <v>0</v>
      </c>
      <c r="AH39" s="287"/>
      <c r="AI39" s="287"/>
      <c r="AJ39" s="287"/>
      <c r="AK39" s="693"/>
      <c r="AL39" s="577">
        <f>AF39*AH39*AJ39</f>
        <v>0</v>
      </c>
      <c r="AM39" s="578">
        <f t="shared" si="3"/>
        <v>0</v>
      </c>
      <c r="AN39" s="155"/>
    </row>
    <row r="40" spans="1:41" ht="16.5" x14ac:dyDescent="0.2">
      <c r="A40" s="683" t="s">
        <v>374</v>
      </c>
      <c r="B40" s="687"/>
      <c r="C40" s="275"/>
      <c r="D40" s="275"/>
      <c r="E40" s="275"/>
      <c r="F40" s="275"/>
      <c r="G40" s="275"/>
      <c r="H40" s="275"/>
      <c r="I40" s="275"/>
      <c r="J40" s="275"/>
      <c r="K40" s="275"/>
      <c r="O40" s="691"/>
      <c r="P40" s="154"/>
      <c r="Q40" s="154"/>
      <c r="R40" s="154"/>
      <c r="S40" s="154"/>
      <c r="T40" s="154"/>
      <c r="U40" s="154"/>
      <c r="V40" s="275"/>
      <c r="W40" s="275"/>
      <c r="X40" s="275"/>
      <c r="Y40" s="275"/>
      <c r="Z40" s="274"/>
      <c r="AA40" s="275"/>
      <c r="AB40" s="275"/>
      <c r="AC40" s="275"/>
      <c r="AD40" s="275"/>
      <c r="AE40" s="276"/>
      <c r="AF40" s="678">
        <f t="shared" si="4"/>
        <v>0</v>
      </c>
      <c r="AG40" s="680">
        <f t="shared" si="5"/>
        <v>0</v>
      </c>
      <c r="AH40" s="272"/>
      <c r="AI40" s="272"/>
      <c r="AJ40" s="272"/>
      <c r="AK40" s="694"/>
      <c r="AL40" s="577"/>
      <c r="AM40" s="578">
        <f t="shared" si="3"/>
        <v>0</v>
      </c>
      <c r="AN40" s="155"/>
    </row>
    <row r="41" spans="1:41" ht="16.5" x14ac:dyDescent="0.2">
      <c r="A41" s="684" t="s">
        <v>321</v>
      </c>
      <c r="B41" s="687"/>
      <c r="C41" s="275"/>
      <c r="D41" s="275"/>
      <c r="E41" s="275"/>
      <c r="F41" s="275"/>
      <c r="G41" s="275"/>
      <c r="H41" s="275"/>
      <c r="I41" s="275"/>
      <c r="J41" s="275"/>
      <c r="K41" s="275"/>
      <c r="L41" s="275">
        <v>1</v>
      </c>
      <c r="M41" s="275">
        <v>1</v>
      </c>
      <c r="N41" s="275">
        <v>1</v>
      </c>
      <c r="O41" s="274">
        <v>1</v>
      </c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4"/>
      <c r="AA41" s="275"/>
      <c r="AB41" s="275"/>
      <c r="AC41" s="275"/>
      <c r="AD41" s="275"/>
      <c r="AE41" s="276"/>
      <c r="AF41" s="678">
        <f t="shared" si="4"/>
        <v>84</v>
      </c>
      <c r="AG41" s="680">
        <f t="shared" si="5"/>
        <v>84</v>
      </c>
      <c r="AH41" s="287"/>
      <c r="AI41" s="287">
        <v>1</v>
      </c>
      <c r="AJ41" s="287"/>
      <c r="AK41" s="693">
        <f>Zdroje!D$9</f>
        <v>840</v>
      </c>
      <c r="AL41" s="577">
        <f>AF41*AH41*AJ41</f>
        <v>0</v>
      </c>
      <c r="AM41" s="578">
        <f t="shared" ref="AM41:AM72" si="6">AG41*AI41*AK41</f>
        <v>70560</v>
      </c>
      <c r="AN41" s="155"/>
    </row>
    <row r="42" spans="1:41" ht="16.5" x14ac:dyDescent="0.2">
      <c r="A42" s="684" t="s">
        <v>156</v>
      </c>
      <c r="B42" s="687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>
        <v>1</v>
      </c>
      <c r="N42" s="275">
        <v>1</v>
      </c>
      <c r="O42" s="274">
        <v>1</v>
      </c>
      <c r="P42" s="275">
        <v>1</v>
      </c>
      <c r="Q42" s="275">
        <v>1</v>
      </c>
      <c r="R42" s="275">
        <v>1</v>
      </c>
      <c r="S42" s="275">
        <v>1</v>
      </c>
      <c r="T42" s="275">
        <v>1</v>
      </c>
      <c r="U42" s="275"/>
      <c r="V42" s="275"/>
      <c r="W42" s="275"/>
      <c r="X42" s="275"/>
      <c r="Y42" s="275"/>
      <c r="Z42" s="274"/>
      <c r="AA42" s="275"/>
      <c r="AB42" s="275"/>
      <c r="AC42" s="275"/>
      <c r="AD42" s="275"/>
      <c r="AE42" s="276"/>
      <c r="AF42" s="678">
        <f t="shared" si="4"/>
        <v>168</v>
      </c>
      <c r="AG42" s="680">
        <f t="shared" si="5"/>
        <v>168</v>
      </c>
      <c r="AH42" s="287"/>
      <c r="AI42" s="287">
        <v>2</v>
      </c>
      <c r="AJ42" s="287"/>
      <c r="AK42" s="693">
        <f>Zdroje!D$7</f>
        <v>732</v>
      </c>
      <c r="AL42" s="577">
        <f>AF42*AH42*AJ42</f>
        <v>0</v>
      </c>
      <c r="AM42" s="578">
        <f t="shared" si="6"/>
        <v>245952</v>
      </c>
      <c r="AN42" s="155"/>
    </row>
    <row r="43" spans="1:41" ht="16.5" x14ac:dyDescent="0.2">
      <c r="A43" s="684" t="s">
        <v>157</v>
      </c>
      <c r="B43" s="687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4"/>
      <c r="P43" s="275"/>
      <c r="Q43" s="275">
        <v>1</v>
      </c>
      <c r="R43" s="275">
        <v>1</v>
      </c>
      <c r="S43" s="275">
        <v>1</v>
      </c>
      <c r="T43" s="275">
        <v>1</v>
      </c>
      <c r="U43" s="275">
        <v>1</v>
      </c>
      <c r="V43" s="275"/>
      <c r="W43" s="275"/>
      <c r="X43" s="275"/>
      <c r="Y43" s="275"/>
      <c r="Z43" s="274"/>
      <c r="AA43" s="275"/>
      <c r="AB43" s="275"/>
      <c r="AC43" s="275"/>
      <c r="AD43" s="275"/>
      <c r="AE43" s="276"/>
      <c r="AF43" s="678">
        <f t="shared" si="4"/>
        <v>105</v>
      </c>
      <c r="AG43" s="680">
        <f t="shared" si="5"/>
        <v>105</v>
      </c>
      <c r="AH43" s="287"/>
      <c r="AI43" s="287">
        <v>1</v>
      </c>
      <c r="AJ43" s="287"/>
      <c r="AK43" s="693">
        <f>Zdroje!D$6</f>
        <v>564</v>
      </c>
      <c r="AL43" s="577">
        <f>AF43*AH43*AJ43</f>
        <v>0</v>
      </c>
      <c r="AM43" s="578">
        <f t="shared" si="6"/>
        <v>59220</v>
      </c>
      <c r="AN43" s="155"/>
    </row>
    <row r="44" spans="1:41" ht="16.5" x14ac:dyDescent="0.2">
      <c r="A44" s="684" t="s">
        <v>158</v>
      </c>
      <c r="B44" s="687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4"/>
      <c r="P44" s="275"/>
      <c r="Q44" s="275"/>
      <c r="R44" s="275"/>
      <c r="S44" s="275"/>
      <c r="T44" s="275"/>
      <c r="U44" s="275">
        <v>1</v>
      </c>
      <c r="V44" s="275">
        <v>1</v>
      </c>
      <c r="W44" s="275"/>
      <c r="X44" s="275"/>
      <c r="Y44" s="275"/>
      <c r="Z44" s="274"/>
      <c r="AA44" s="275"/>
      <c r="AB44" s="275"/>
      <c r="AC44" s="275"/>
      <c r="AD44" s="275"/>
      <c r="AE44" s="276"/>
      <c r="AF44" s="678">
        <f t="shared" si="4"/>
        <v>42</v>
      </c>
      <c r="AG44" s="680">
        <f t="shared" si="5"/>
        <v>42</v>
      </c>
      <c r="AH44" s="287"/>
      <c r="AI44" s="287">
        <v>0.5</v>
      </c>
      <c r="AJ44" s="287"/>
      <c r="AK44" s="693">
        <f>Zdroje!D$7</f>
        <v>732</v>
      </c>
      <c r="AL44" s="577">
        <f>AF44*AH44*AJ44</f>
        <v>0</v>
      </c>
      <c r="AM44" s="578">
        <f t="shared" si="6"/>
        <v>15372</v>
      </c>
      <c r="AN44" s="155"/>
    </row>
    <row r="45" spans="1:41" ht="16.5" x14ac:dyDescent="0.2">
      <c r="A45" s="684"/>
      <c r="B45" s="687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4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4"/>
      <c r="AA45" s="275"/>
      <c r="AB45" s="275"/>
      <c r="AC45" s="275"/>
      <c r="AD45" s="275"/>
      <c r="AE45" s="276"/>
      <c r="AF45" s="678">
        <f t="shared" si="4"/>
        <v>0</v>
      </c>
      <c r="AG45" s="680">
        <f t="shared" si="5"/>
        <v>0</v>
      </c>
      <c r="AH45" s="287"/>
      <c r="AI45" s="287"/>
      <c r="AJ45" s="287"/>
      <c r="AK45" s="693"/>
      <c r="AL45" s="577">
        <f>AF45*AH45*AJ45</f>
        <v>0</v>
      </c>
      <c r="AM45" s="578">
        <f t="shared" si="6"/>
        <v>0</v>
      </c>
      <c r="AN45" s="155"/>
      <c r="AO45" s="155"/>
    </row>
    <row r="46" spans="1:41" ht="16.5" x14ac:dyDescent="0.2">
      <c r="A46" s="683" t="s">
        <v>382</v>
      </c>
      <c r="B46" s="687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4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4"/>
      <c r="AA46" s="275"/>
      <c r="AB46" s="275"/>
      <c r="AC46" s="275"/>
      <c r="AD46" s="275"/>
      <c r="AE46" s="276"/>
      <c r="AF46" s="678">
        <f t="shared" si="4"/>
        <v>0</v>
      </c>
      <c r="AG46" s="680">
        <f t="shared" si="5"/>
        <v>0</v>
      </c>
      <c r="AH46" s="272"/>
      <c r="AI46" s="272"/>
      <c r="AJ46" s="272"/>
      <c r="AK46" s="694"/>
      <c r="AL46" s="577"/>
      <c r="AM46" s="578">
        <f t="shared" si="6"/>
        <v>0</v>
      </c>
      <c r="AN46" s="155"/>
    </row>
    <row r="47" spans="1:41" ht="16.5" x14ac:dyDescent="0.2">
      <c r="A47" s="684" t="s">
        <v>321</v>
      </c>
      <c r="B47" s="687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>
        <v>1</v>
      </c>
      <c r="O47" s="274">
        <v>1</v>
      </c>
      <c r="P47" s="275">
        <v>1</v>
      </c>
      <c r="Q47" s="275">
        <v>1</v>
      </c>
      <c r="R47" s="275">
        <v>1</v>
      </c>
      <c r="S47" s="275"/>
      <c r="T47" s="275"/>
      <c r="U47" s="275"/>
      <c r="V47" s="275"/>
      <c r="W47" s="275"/>
      <c r="X47" s="275"/>
      <c r="Y47" s="275"/>
      <c r="Z47" s="274"/>
      <c r="AA47" s="275"/>
      <c r="AB47" s="275"/>
      <c r="AC47" s="275"/>
      <c r="AD47" s="275"/>
      <c r="AE47" s="276"/>
      <c r="AF47" s="678">
        <f t="shared" si="4"/>
        <v>105</v>
      </c>
      <c r="AG47" s="680">
        <f t="shared" si="5"/>
        <v>105</v>
      </c>
      <c r="AH47" s="287"/>
      <c r="AI47" s="287">
        <v>1.5</v>
      </c>
      <c r="AJ47" s="287"/>
      <c r="AK47" s="693">
        <f>Zdroje!D$9</f>
        <v>840</v>
      </c>
      <c r="AL47" s="577">
        <f>AF47*AH47*AJ47</f>
        <v>0</v>
      </c>
      <c r="AM47" s="578">
        <f t="shared" si="6"/>
        <v>132300</v>
      </c>
      <c r="AN47" s="155"/>
    </row>
    <row r="48" spans="1:41" ht="16.5" x14ac:dyDescent="0.2">
      <c r="A48" s="684" t="s">
        <v>156</v>
      </c>
      <c r="B48" s="687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4"/>
      <c r="P48" s="275">
        <v>1</v>
      </c>
      <c r="Q48" s="275">
        <v>1</v>
      </c>
      <c r="R48" s="275">
        <v>1</v>
      </c>
      <c r="S48" s="275">
        <v>1</v>
      </c>
      <c r="T48" s="275">
        <v>1</v>
      </c>
      <c r="U48" s="275">
        <v>1</v>
      </c>
      <c r="V48" s="275">
        <v>1</v>
      </c>
      <c r="W48" s="275">
        <v>1</v>
      </c>
      <c r="X48" s="275">
        <v>1</v>
      </c>
      <c r="Y48" s="275">
        <v>1</v>
      </c>
      <c r="Z48" s="274"/>
      <c r="AA48" s="275"/>
      <c r="AB48" s="275"/>
      <c r="AC48" s="275"/>
      <c r="AD48" s="275"/>
      <c r="AE48" s="276"/>
      <c r="AF48" s="678">
        <f t="shared" si="4"/>
        <v>210</v>
      </c>
      <c r="AG48" s="680">
        <f t="shared" si="5"/>
        <v>210</v>
      </c>
      <c r="AH48" s="287"/>
      <c r="AI48" s="287">
        <v>3</v>
      </c>
      <c r="AJ48" s="287"/>
      <c r="AK48" s="693">
        <f>Zdroje!D$7</f>
        <v>732</v>
      </c>
      <c r="AL48" s="577">
        <f>AF48*AH48*AJ48</f>
        <v>0</v>
      </c>
      <c r="AM48" s="578">
        <f t="shared" si="6"/>
        <v>461160</v>
      </c>
      <c r="AN48" s="155"/>
    </row>
    <row r="49" spans="1:41" ht="16.5" x14ac:dyDescent="0.2">
      <c r="A49" s="684" t="s">
        <v>157</v>
      </c>
      <c r="B49" s="687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4"/>
      <c r="P49" s="275"/>
      <c r="Q49" s="275"/>
      <c r="R49" s="275"/>
      <c r="S49" s="275"/>
      <c r="T49" s="275"/>
      <c r="U49" s="275"/>
      <c r="V49" s="275">
        <v>1</v>
      </c>
      <c r="W49" s="275">
        <v>1</v>
      </c>
      <c r="X49" s="275">
        <v>1</v>
      </c>
      <c r="Y49" s="275">
        <v>1</v>
      </c>
      <c r="Z49" s="274">
        <v>1</v>
      </c>
      <c r="AA49" s="275">
        <v>1</v>
      </c>
      <c r="AB49" s="275"/>
      <c r="AC49" s="275"/>
      <c r="AD49" s="275"/>
      <c r="AE49" s="276"/>
      <c r="AF49" s="678">
        <f t="shared" si="4"/>
        <v>126</v>
      </c>
      <c r="AG49" s="680">
        <f t="shared" si="5"/>
        <v>126</v>
      </c>
      <c r="AH49" s="287"/>
      <c r="AI49" s="287">
        <v>1</v>
      </c>
      <c r="AJ49" s="287"/>
      <c r="AK49" s="693">
        <f>Zdroje!D$6</f>
        <v>564</v>
      </c>
      <c r="AL49" s="577">
        <f>AF49*AH49*AJ49</f>
        <v>0</v>
      </c>
      <c r="AM49" s="578">
        <f t="shared" si="6"/>
        <v>71064</v>
      </c>
      <c r="AN49" s="155"/>
    </row>
    <row r="50" spans="1:41" ht="16.5" x14ac:dyDescent="0.2">
      <c r="A50" s="684" t="s">
        <v>158</v>
      </c>
      <c r="B50" s="687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4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4">
        <v>1</v>
      </c>
      <c r="AA50" s="275">
        <v>1</v>
      </c>
      <c r="AB50" s="275">
        <v>1</v>
      </c>
      <c r="AC50" s="275">
        <v>1</v>
      </c>
      <c r="AD50" s="275"/>
      <c r="AE50" s="276"/>
      <c r="AF50" s="678">
        <f t="shared" si="4"/>
        <v>84</v>
      </c>
      <c r="AG50" s="680">
        <f t="shared" si="5"/>
        <v>84</v>
      </c>
      <c r="AH50" s="287"/>
      <c r="AI50" s="287">
        <v>0.5</v>
      </c>
      <c r="AJ50" s="287"/>
      <c r="AK50" s="693">
        <f>Zdroje!D$7</f>
        <v>732</v>
      </c>
      <c r="AL50" s="577">
        <f>AF50*AH50*AJ50</f>
        <v>0</v>
      </c>
      <c r="AM50" s="578">
        <f t="shared" si="6"/>
        <v>30744</v>
      </c>
      <c r="AN50" s="155"/>
    </row>
    <row r="51" spans="1:41" ht="16.5" x14ac:dyDescent="0.2">
      <c r="A51" s="684"/>
      <c r="B51" s="687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4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4"/>
      <c r="AA51" s="275"/>
      <c r="AB51" s="275"/>
      <c r="AC51" s="275"/>
      <c r="AD51" s="275"/>
      <c r="AE51" s="276"/>
      <c r="AF51" s="678">
        <f t="shared" si="4"/>
        <v>0</v>
      </c>
      <c r="AG51" s="680">
        <f t="shared" si="5"/>
        <v>0</v>
      </c>
      <c r="AH51" s="287"/>
      <c r="AI51" s="287"/>
      <c r="AJ51" s="287"/>
      <c r="AK51" s="693"/>
      <c r="AL51" s="577"/>
      <c r="AM51" s="578">
        <f t="shared" si="6"/>
        <v>0</v>
      </c>
      <c r="AN51" s="155"/>
    </row>
    <row r="52" spans="1:41" ht="16.5" x14ac:dyDescent="0.2">
      <c r="A52" s="683" t="s">
        <v>375</v>
      </c>
      <c r="B52" s="687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4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4"/>
      <c r="AA52" s="275"/>
      <c r="AB52" s="275"/>
      <c r="AC52" s="275"/>
      <c r="AD52" s="275"/>
      <c r="AE52" s="276"/>
      <c r="AF52" s="678">
        <f t="shared" si="4"/>
        <v>0</v>
      </c>
      <c r="AG52" s="680">
        <f t="shared" si="5"/>
        <v>0</v>
      </c>
      <c r="AH52" s="272"/>
      <c r="AI52" s="272"/>
      <c r="AJ52" s="272"/>
      <c r="AK52" s="694"/>
      <c r="AL52" s="577"/>
      <c r="AM52" s="578">
        <f t="shared" si="6"/>
        <v>0</v>
      </c>
      <c r="AN52" s="155"/>
    </row>
    <row r="53" spans="1:41" ht="16.5" x14ac:dyDescent="0.2">
      <c r="A53" s="684" t="s">
        <v>321</v>
      </c>
      <c r="B53" s="687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>
        <v>1</v>
      </c>
      <c r="O53" s="274">
        <v>1</v>
      </c>
      <c r="P53" s="275">
        <v>1</v>
      </c>
      <c r="Q53" s="275">
        <v>1</v>
      </c>
      <c r="R53" s="275"/>
      <c r="S53" s="275"/>
      <c r="T53" s="275"/>
      <c r="U53" s="275"/>
      <c r="V53" s="275"/>
      <c r="W53" s="275"/>
      <c r="X53" s="275"/>
      <c r="Y53" s="275"/>
      <c r="Z53" s="274"/>
      <c r="AA53" s="275"/>
      <c r="AB53" s="275"/>
      <c r="AC53" s="275"/>
      <c r="AD53" s="275"/>
      <c r="AE53" s="276"/>
      <c r="AF53" s="678">
        <f t="shared" si="4"/>
        <v>84</v>
      </c>
      <c r="AG53" s="680">
        <f t="shared" si="5"/>
        <v>84</v>
      </c>
      <c r="AH53" s="287"/>
      <c r="AI53" s="287">
        <v>2</v>
      </c>
      <c r="AJ53" s="287"/>
      <c r="AK53" s="693">
        <f>Zdroje!D$9</f>
        <v>840</v>
      </c>
      <c r="AL53" s="577">
        <f>AF53*AH53*AJ53</f>
        <v>0</v>
      </c>
      <c r="AM53" s="578">
        <f t="shared" si="6"/>
        <v>141120</v>
      </c>
      <c r="AN53" s="155"/>
    </row>
    <row r="54" spans="1:41" ht="16.5" x14ac:dyDescent="0.2">
      <c r="A54" s="684" t="s">
        <v>156</v>
      </c>
      <c r="B54" s="687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4"/>
      <c r="P54" s="275">
        <v>1</v>
      </c>
      <c r="Q54" s="275">
        <v>1</v>
      </c>
      <c r="R54" s="275">
        <v>1</v>
      </c>
      <c r="S54" s="275">
        <v>1</v>
      </c>
      <c r="T54" s="275">
        <v>1</v>
      </c>
      <c r="U54" s="275">
        <v>1</v>
      </c>
      <c r="V54" s="275">
        <v>1</v>
      </c>
      <c r="W54" s="275">
        <v>1</v>
      </c>
      <c r="X54" s="275"/>
      <c r="Y54" s="275"/>
      <c r="Z54" s="274"/>
      <c r="AA54" s="275"/>
      <c r="AB54" s="275"/>
      <c r="AC54" s="275"/>
      <c r="AD54" s="275"/>
      <c r="AE54" s="276"/>
      <c r="AF54" s="678">
        <f t="shared" si="4"/>
        <v>168</v>
      </c>
      <c r="AG54" s="680">
        <f t="shared" si="5"/>
        <v>168</v>
      </c>
      <c r="AH54" s="287"/>
      <c r="AI54" s="287">
        <v>4</v>
      </c>
      <c r="AJ54" s="287"/>
      <c r="AK54" s="693">
        <f>Zdroje!D$7</f>
        <v>732</v>
      </c>
      <c r="AL54" s="577">
        <f>AF54*AH54*AJ54</f>
        <v>0</v>
      </c>
      <c r="AM54" s="578">
        <f t="shared" si="6"/>
        <v>491904</v>
      </c>
      <c r="AN54" s="155"/>
    </row>
    <row r="55" spans="1:41" ht="16.5" x14ac:dyDescent="0.2">
      <c r="A55" s="684" t="s">
        <v>157</v>
      </c>
      <c r="B55" s="687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4"/>
      <c r="P55" s="275"/>
      <c r="Q55" s="275"/>
      <c r="R55" s="275"/>
      <c r="S55" s="275"/>
      <c r="T55" s="275"/>
      <c r="U55" s="275"/>
      <c r="V55" s="275">
        <v>1</v>
      </c>
      <c r="W55" s="275">
        <v>1</v>
      </c>
      <c r="X55" s="275">
        <v>1</v>
      </c>
      <c r="Y55" s="275">
        <v>1</v>
      </c>
      <c r="Z55" s="274">
        <v>1</v>
      </c>
      <c r="AA55" s="275"/>
      <c r="AB55" s="275"/>
      <c r="AC55" s="275"/>
      <c r="AD55" s="275"/>
      <c r="AE55" s="276"/>
      <c r="AF55" s="678">
        <f t="shared" si="4"/>
        <v>105</v>
      </c>
      <c r="AG55" s="680">
        <f t="shared" si="5"/>
        <v>105</v>
      </c>
      <c r="AH55" s="287"/>
      <c r="AI55" s="287">
        <v>2</v>
      </c>
      <c r="AJ55" s="287"/>
      <c r="AK55" s="693">
        <f>Zdroje!D$6</f>
        <v>564</v>
      </c>
      <c r="AL55" s="577">
        <f>AF55*AH55*AJ55</f>
        <v>0</v>
      </c>
      <c r="AM55" s="578">
        <f t="shared" si="6"/>
        <v>118440</v>
      </c>
      <c r="AN55" s="155"/>
    </row>
    <row r="56" spans="1:41" ht="16.5" x14ac:dyDescent="0.2">
      <c r="A56" s="684" t="s">
        <v>158</v>
      </c>
      <c r="B56" s="687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4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4">
        <v>1</v>
      </c>
      <c r="AA56" s="275">
        <v>1</v>
      </c>
      <c r="AB56" s="275"/>
      <c r="AC56" s="275"/>
      <c r="AD56" s="275"/>
      <c r="AE56" s="276"/>
      <c r="AF56" s="678">
        <f t="shared" si="4"/>
        <v>42</v>
      </c>
      <c r="AG56" s="680">
        <f t="shared" si="5"/>
        <v>42</v>
      </c>
      <c r="AH56" s="287"/>
      <c r="AI56" s="287">
        <v>0.5</v>
      </c>
      <c r="AJ56" s="287"/>
      <c r="AK56" s="693">
        <f>Zdroje!D$7</f>
        <v>732</v>
      </c>
      <c r="AL56" s="577">
        <f>AF56*AH56*AJ56</f>
        <v>0</v>
      </c>
      <c r="AM56" s="578">
        <f t="shared" si="6"/>
        <v>15372</v>
      </c>
      <c r="AN56" s="155"/>
    </row>
    <row r="57" spans="1:41" ht="16.5" x14ac:dyDescent="0.2">
      <c r="A57" s="684"/>
      <c r="B57" s="687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4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4"/>
      <c r="AA57" s="275"/>
      <c r="AB57" s="275"/>
      <c r="AC57" s="275"/>
      <c r="AD57" s="275"/>
      <c r="AE57" s="276"/>
      <c r="AF57" s="678">
        <f t="shared" si="4"/>
        <v>0</v>
      </c>
      <c r="AG57" s="680">
        <f t="shared" si="5"/>
        <v>0</v>
      </c>
      <c r="AH57" s="287"/>
      <c r="AI57" s="287"/>
      <c r="AJ57" s="287"/>
      <c r="AK57" s="693"/>
      <c r="AL57" s="577">
        <f>AF57*AH57*AJ57</f>
        <v>0</v>
      </c>
      <c r="AM57" s="578">
        <f t="shared" si="6"/>
        <v>0</v>
      </c>
      <c r="AN57" s="155"/>
      <c r="AO57" s="155"/>
    </row>
    <row r="58" spans="1:41" ht="16.5" x14ac:dyDescent="0.2">
      <c r="A58" s="683" t="s">
        <v>376</v>
      </c>
      <c r="B58" s="687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4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4"/>
      <c r="AA58" s="275"/>
      <c r="AB58" s="275"/>
      <c r="AC58" s="275"/>
      <c r="AD58" s="275"/>
      <c r="AE58" s="276"/>
      <c r="AF58" s="678">
        <f t="shared" si="4"/>
        <v>0</v>
      </c>
      <c r="AG58" s="680">
        <f t="shared" si="5"/>
        <v>0</v>
      </c>
      <c r="AH58" s="272"/>
      <c r="AI58" s="272"/>
      <c r="AJ58" s="272"/>
      <c r="AK58" s="694"/>
      <c r="AL58" s="577"/>
      <c r="AM58" s="578">
        <f t="shared" si="6"/>
        <v>0</v>
      </c>
      <c r="AN58" s="155"/>
    </row>
    <row r="59" spans="1:41" ht="16.5" x14ac:dyDescent="0.2">
      <c r="A59" s="684" t="s">
        <v>321</v>
      </c>
      <c r="B59" s="687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>
        <v>1</v>
      </c>
      <c r="N59" s="275">
        <v>1</v>
      </c>
      <c r="O59" s="274">
        <v>1</v>
      </c>
      <c r="P59" s="275">
        <v>1</v>
      </c>
      <c r="Q59" s="275">
        <v>1</v>
      </c>
      <c r="R59" s="275">
        <v>1</v>
      </c>
      <c r="S59" s="275">
        <v>1</v>
      </c>
      <c r="T59" s="275"/>
      <c r="U59" s="275"/>
      <c r="V59" s="275"/>
      <c r="W59" s="275"/>
      <c r="X59" s="275"/>
      <c r="Y59" s="275"/>
      <c r="Z59" s="274"/>
      <c r="AA59" s="275"/>
      <c r="AB59" s="275"/>
      <c r="AC59" s="275"/>
      <c r="AD59" s="275"/>
      <c r="AE59" s="276"/>
      <c r="AF59" s="678">
        <f t="shared" si="4"/>
        <v>147</v>
      </c>
      <c r="AG59" s="680">
        <f t="shared" si="5"/>
        <v>147</v>
      </c>
      <c r="AH59" s="287"/>
      <c r="AI59" s="287">
        <v>3</v>
      </c>
      <c r="AJ59" s="287"/>
      <c r="AK59" s="693">
        <f>Zdroje!D$9</f>
        <v>840</v>
      </c>
      <c r="AL59" s="577">
        <f>AF59*AH59*AJ59</f>
        <v>0</v>
      </c>
      <c r="AM59" s="578">
        <f t="shared" si="6"/>
        <v>370440</v>
      </c>
      <c r="AN59" s="155"/>
    </row>
    <row r="60" spans="1:41" ht="16.5" x14ac:dyDescent="0.2">
      <c r="A60" s="684" t="s">
        <v>156</v>
      </c>
      <c r="B60" s="687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4">
        <v>1</v>
      </c>
      <c r="P60" s="275">
        <v>1</v>
      </c>
      <c r="Q60" s="275">
        <v>1</v>
      </c>
      <c r="R60" s="275">
        <v>1</v>
      </c>
      <c r="S60" s="275">
        <v>1</v>
      </c>
      <c r="T60" s="275">
        <v>1</v>
      </c>
      <c r="U60" s="275">
        <v>1</v>
      </c>
      <c r="V60" s="275">
        <v>1</v>
      </c>
      <c r="W60" s="275">
        <v>1</v>
      </c>
      <c r="X60" s="275">
        <v>1</v>
      </c>
      <c r="Y60" s="275">
        <v>1</v>
      </c>
      <c r="Z60" s="274">
        <v>1</v>
      </c>
      <c r="AA60" s="275">
        <v>1</v>
      </c>
      <c r="AB60" s="275"/>
      <c r="AC60" s="275"/>
      <c r="AD60" s="275"/>
      <c r="AE60" s="276"/>
      <c r="AF60" s="678">
        <f t="shared" si="4"/>
        <v>273</v>
      </c>
      <c r="AG60" s="680">
        <f t="shared" si="5"/>
        <v>273</v>
      </c>
      <c r="AH60" s="287"/>
      <c r="AI60" s="287">
        <v>5</v>
      </c>
      <c r="AJ60" s="287"/>
      <c r="AK60" s="693">
        <f>Zdroje!D$7</f>
        <v>732</v>
      </c>
      <c r="AL60" s="577">
        <f>AF60*AH60*AJ60</f>
        <v>0</v>
      </c>
      <c r="AM60" s="578">
        <f t="shared" si="6"/>
        <v>999180</v>
      </c>
      <c r="AN60" s="155"/>
    </row>
    <row r="61" spans="1:41" ht="16.5" x14ac:dyDescent="0.2">
      <c r="A61" s="684" t="s">
        <v>157</v>
      </c>
      <c r="B61" s="687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4"/>
      <c r="P61" s="275"/>
      <c r="Q61" s="275"/>
      <c r="R61" s="275"/>
      <c r="S61" s="275"/>
      <c r="T61" s="275"/>
      <c r="U61" s="275"/>
      <c r="V61" s="275">
        <v>1</v>
      </c>
      <c r="W61" s="275">
        <v>1</v>
      </c>
      <c r="X61" s="275">
        <v>1</v>
      </c>
      <c r="Y61" s="275">
        <v>1</v>
      </c>
      <c r="Z61" s="274">
        <v>1</v>
      </c>
      <c r="AA61" s="275">
        <v>1</v>
      </c>
      <c r="AB61" s="275">
        <v>1</v>
      </c>
      <c r="AC61" s="275">
        <v>1</v>
      </c>
      <c r="AD61" s="275"/>
      <c r="AE61" s="276"/>
      <c r="AF61" s="678">
        <f t="shared" si="4"/>
        <v>168</v>
      </c>
      <c r="AG61" s="680">
        <f t="shared" si="5"/>
        <v>168</v>
      </c>
      <c r="AH61" s="287"/>
      <c r="AI61" s="287">
        <v>3</v>
      </c>
      <c r="AJ61" s="287"/>
      <c r="AK61" s="693">
        <f>Zdroje!D$6</f>
        <v>564</v>
      </c>
      <c r="AL61" s="577">
        <f>AF61*AH61*AJ61</f>
        <v>0</v>
      </c>
      <c r="AM61" s="578">
        <f t="shared" si="6"/>
        <v>284256</v>
      </c>
      <c r="AN61" s="155"/>
    </row>
    <row r="62" spans="1:41" ht="16.5" x14ac:dyDescent="0.2">
      <c r="A62" s="684" t="s">
        <v>158</v>
      </c>
      <c r="B62" s="687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4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4"/>
      <c r="AA62" s="275">
        <v>1</v>
      </c>
      <c r="AB62" s="275">
        <v>1</v>
      </c>
      <c r="AC62" s="275">
        <v>1</v>
      </c>
      <c r="AD62" s="275">
        <v>1</v>
      </c>
      <c r="AE62" s="276"/>
      <c r="AF62" s="678">
        <f t="shared" si="4"/>
        <v>84</v>
      </c>
      <c r="AG62" s="680">
        <f t="shared" si="5"/>
        <v>84</v>
      </c>
      <c r="AH62" s="287"/>
      <c r="AI62" s="287">
        <v>1</v>
      </c>
      <c r="AJ62" s="287"/>
      <c r="AK62" s="693">
        <f>Zdroje!D$7</f>
        <v>732</v>
      </c>
      <c r="AL62" s="577">
        <f>AF62*AH62*AJ62</f>
        <v>0</v>
      </c>
      <c r="AM62" s="578">
        <f t="shared" si="6"/>
        <v>61488</v>
      </c>
      <c r="AN62" s="155"/>
    </row>
    <row r="63" spans="1:41" ht="16.5" x14ac:dyDescent="0.2">
      <c r="A63" s="684"/>
      <c r="B63" s="687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4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4"/>
      <c r="AA63" s="275"/>
      <c r="AB63" s="275"/>
      <c r="AC63" s="275"/>
      <c r="AD63" s="275"/>
      <c r="AE63" s="276"/>
      <c r="AF63" s="678">
        <f t="shared" si="4"/>
        <v>0</v>
      </c>
      <c r="AG63" s="680">
        <f t="shared" si="5"/>
        <v>0</v>
      </c>
      <c r="AH63" s="287"/>
      <c r="AI63" s="287"/>
      <c r="AJ63" s="287"/>
      <c r="AK63" s="693"/>
      <c r="AL63" s="577">
        <f>AF63*AH63*AJ63</f>
        <v>0</v>
      </c>
      <c r="AM63" s="578">
        <f t="shared" si="6"/>
        <v>0</v>
      </c>
      <c r="AN63" s="155"/>
      <c r="AO63" s="155"/>
    </row>
    <row r="64" spans="1:41" ht="16.5" x14ac:dyDescent="0.2">
      <c r="A64" s="683" t="s">
        <v>377</v>
      </c>
      <c r="B64" s="687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4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4"/>
      <c r="AA64" s="275"/>
      <c r="AB64" s="275"/>
      <c r="AC64" s="275"/>
      <c r="AD64" s="275"/>
      <c r="AE64" s="276"/>
      <c r="AF64" s="678">
        <f t="shared" si="4"/>
        <v>0</v>
      </c>
      <c r="AG64" s="680">
        <f t="shared" si="5"/>
        <v>0</v>
      </c>
      <c r="AH64" s="272"/>
      <c r="AI64" s="272"/>
      <c r="AJ64" s="272"/>
      <c r="AK64" s="694"/>
      <c r="AL64" s="577"/>
      <c r="AM64" s="578">
        <f t="shared" si="6"/>
        <v>0</v>
      </c>
      <c r="AN64" s="155"/>
    </row>
    <row r="65" spans="1:41" ht="16.5" x14ac:dyDescent="0.2">
      <c r="A65" s="684" t="s">
        <v>321</v>
      </c>
      <c r="B65" s="687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4">
        <v>1</v>
      </c>
      <c r="P65" s="275">
        <v>1</v>
      </c>
      <c r="Q65" s="275">
        <v>1</v>
      </c>
      <c r="R65" s="275">
        <v>1</v>
      </c>
      <c r="S65" s="275"/>
      <c r="T65" s="275"/>
      <c r="U65" s="275"/>
      <c r="V65" s="275"/>
      <c r="W65" s="275"/>
      <c r="X65" s="275"/>
      <c r="Y65" s="275"/>
      <c r="Z65" s="274"/>
      <c r="AA65" s="275"/>
      <c r="AB65" s="275"/>
      <c r="AC65" s="275"/>
      <c r="AD65" s="275"/>
      <c r="AE65" s="276"/>
      <c r="AF65" s="678">
        <f t="shared" si="4"/>
        <v>84</v>
      </c>
      <c r="AG65" s="680">
        <f t="shared" si="5"/>
        <v>84</v>
      </c>
      <c r="AH65" s="287"/>
      <c r="AI65" s="287">
        <v>1</v>
      </c>
      <c r="AJ65" s="287"/>
      <c r="AK65" s="693">
        <f>Zdroje!D$9</f>
        <v>840</v>
      </c>
      <c r="AL65" s="577">
        <f>AF65*AH65*AJ65</f>
        <v>0</v>
      </c>
      <c r="AM65" s="578">
        <f t="shared" si="6"/>
        <v>70560</v>
      </c>
      <c r="AN65" s="155"/>
    </row>
    <row r="66" spans="1:41" ht="16.5" x14ac:dyDescent="0.2">
      <c r="A66" s="684" t="s">
        <v>156</v>
      </c>
      <c r="B66" s="687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4"/>
      <c r="P66" s="275"/>
      <c r="Q66" s="275">
        <v>1</v>
      </c>
      <c r="R66" s="275">
        <v>1</v>
      </c>
      <c r="S66" s="275">
        <v>1</v>
      </c>
      <c r="T66" s="275">
        <v>1</v>
      </c>
      <c r="U66" s="275">
        <v>1</v>
      </c>
      <c r="V66" s="275">
        <v>1</v>
      </c>
      <c r="W66" s="275">
        <v>1</v>
      </c>
      <c r="X66" s="275">
        <v>1</v>
      </c>
      <c r="Y66" s="275"/>
      <c r="Z66" s="274"/>
      <c r="AA66" s="275"/>
      <c r="AB66" s="275"/>
      <c r="AC66" s="275"/>
      <c r="AD66" s="275"/>
      <c r="AE66" s="276"/>
      <c r="AF66" s="678">
        <f t="shared" si="4"/>
        <v>168</v>
      </c>
      <c r="AG66" s="680">
        <f t="shared" si="5"/>
        <v>168</v>
      </c>
      <c r="AH66" s="287"/>
      <c r="AI66" s="287">
        <v>2</v>
      </c>
      <c r="AJ66" s="287"/>
      <c r="AK66" s="693">
        <f>Zdroje!D$7</f>
        <v>732</v>
      </c>
      <c r="AL66" s="577">
        <f>AF66*AH66*AJ66</f>
        <v>0</v>
      </c>
      <c r="AM66" s="578">
        <f t="shared" si="6"/>
        <v>245952</v>
      </c>
      <c r="AN66" s="155"/>
    </row>
    <row r="67" spans="1:41" ht="16.5" x14ac:dyDescent="0.2">
      <c r="A67" s="684" t="s">
        <v>157</v>
      </c>
      <c r="B67" s="687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4"/>
      <c r="P67" s="275"/>
      <c r="Q67" s="275"/>
      <c r="R67" s="275"/>
      <c r="S67" s="275"/>
      <c r="T67" s="275"/>
      <c r="U67" s="275"/>
      <c r="V67" s="275"/>
      <c r="W67" s="275">
        <v>1</v>
      </c>
      <c r="X67" s="275">
        <v>1</v>
      </c>
      <c r="Y67" s="275">
        <v>1</v>
      </c>
      <c r="Z67" s="274"/>
      <c r="AA67" s="275"/>
      <c r="AB67" s="275"/>
      <c r="AC67" s="275"/>
      <c r="AD67" s="275"/>
      <c r="AE67" s="276"/>
      <c r="AF67" s="678">
        <f t="shared" si="4"/>
        <v>63</v>
      </c>
      <c r="AG67" s="680">
        <f t="shared" si="5"/>
        <v>63</v>
      </c>
      <c r="AH67" s="287"/>
      <c r="AI67" s="287">
        <v>1</v>
      </c>
      <c r="AJ67" s="287"/>
      <c r="AK67" s="693">
        <f>Zdroje!D$6</f>
        <v>564</v>
      </c>
      <c r="AL67" s="577">
        <f>AF67*AH67*AJ67</f>
        <v>0</v>
      </c>
      <c r="AM67" s="578">
        <f t="shared" si="6"/>
        <v>35532</v>
      </c>
      <c r="AN67" s="155"/>
    </row>
    <row r="68" spans="1:41" ht="16.5" x14ac:dyDescent="0.2">
      <c r="A68" s="684" t="s">
        <v>158</v>
      </c>
      <c r="B68" s="687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4"/>
      <c r="P68" s="275"/>
      <c r="Q68" s="275"/>
      <c r="R68" s="275"/>
      <c r="S68" s="275"/>
      <c r="T68" s="275"/>
      <c r="U68" s="275"/>
      <c r="V68" s="275"/>
      <c r="W68" s="275"/>
      <c r="X68" s="275">
        <v>1</v>
      </c>
      <c r="Y68" s="275">
        <v>1</v>
      </c>
      <c r="Z68" s="274">
        <v>1</v>
      </c>
      <c r="AA68" s="275"/>
      <c r="AB68" s="275"/>
      <c r="AC68" s="275"/>
      <c r="AD68" s="275"/>
      <c r="AE68" s="276"/>
      <c r="AF68" s="678">
        <f t="shared" si="4"/>
        <v>63</v>
      </c>
      <c r="AG68" s="680">
        <f t="shared" si="5"/>
        <v>63</v>
      </c>
      <c r="AH68" s="287"/>
      <c r="AI68" s="287">
        <v>0.5</v>
      </c>
      <c r="AJ68" s="287"/>
      <c r="AK68" s="693">
        <f>Zdroje!D$7</f>
        <v>732</v>
      </c>
      <c r="AL68" s="577">
        <f>AF68*AH68*AJ68</f>
        <v>0</v>
      </c>
      <c r="AM68" s="578">
        <f t="shared" si="6"/>
        <v>23058</v>
      </c>
      <c r="AN68" s="155"/>
    </row>
    <row r="69" spans="1:41" ht="16.5" x14ac:dyDescent="0.2">
      <c r="A69" s="684"/>
      <c r="B69" s="687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4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4"/>
      <c r="AA69" s="275"/>
      <c r="AB69" s="275"/>
      <c r="AC69" s="275"/>
      <c r="AD69" s="275"/>
      <c r="AE69" s="276"/>
      <c r="AF69" s="678">
        <f t="shared" ref="AF69:AF89" si="7">COUNTA(C69:AE69)*21</f>
        <v>0</v>
      </c>
      <c r="AG69" s="680">
        <f t="shared" ref="AG69:AG89" si="8">COUNTA(C69:AE69)*21</f>
        <v>0</v>
      </c>
      <c r="AH69" s="287"/>
      <c r="AI69" s="287"/>
      <c r="AJ69" s="287"/>
      <c r="AK69" s="693"/>
      <c r="AL69" s="577"/>
      <c r="AM69" s="578">
        <f t="shared" si="6"/>
        <v>0</v>
      </c>
      <c r="AN69" s="155"/>
    </row>
    <row r="70" spans="1:41" ht="16.5" x14ac:dyDescent="0.2">
      <c r="A70" s="683" t="s">
        <v>378</v>
      </c>
      <c r="B70" s="687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4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4"/>
      <c r="AA70" s="275"/>
      <c r="AB70" s="275"/>
      <c r="AC70" s="275"/>
      <c r="AD70" s="275"/>
      <c r="AE70" s="276"/>
      <c r="AF70" s="678">
        <f t="shared" si="7"/>
        <v>0</v>
      </c>
      <c r="AG70" s="680">
        <f t="shared" si="8"/>
        <v>0</v>
      </c>
      <c r="AH70" s="272"/>
      <c r="AI70" s="272"/>
      <c r="AJ70" s="272"/>
      <c r="AK70" s="694"/>
      <c r="AL70" s="577"/>
      <c r="AM70" s="578">
        <f t="shared" si="6"/>
        <v>0</v>
      </c>
      <c r="AN70" s="155"/>
    </row>
    <row r="71" spans="1:41" ht="16.5" x14ac:dyDescent="0.2">
      <c r="A71" s="684" t="s">
        <v>321</v>
      </c>
      <c r="B71" s="687"/>
      <c r="C71" s="275"/>
      <c r="D71" s="275"/>
      <c r="E71" s="275"/>
      <c r="F71" s="275"/>
      <c r="G71" s="275">
        <v>1</v>
      </c>
      <c r="H71" s="275">
        <v>1</v>
      </c>
      <c r="I71" s="275">
        <v>1</v>
      </c>
      <c r="J71" s="275">
        <v>1</v>
      </c>
      <c r="K71" s="275">
        <v>1</v>
      </c>
      <c r="L71" s="275"/>
      <c r="M71" s="275"/>
      <c r="N71" s="275"/>
      <c r="O71" s="274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4"/>
      <c r="AA71" s="275"/>
      <c r="AB71" s="275"/>
      <c r="AC71" s="275"/>
      <c r="AD71" s="275"/>
      <c r="AE71" s="276"/>
      <c r="AF71" s="678">
        <f t="shared" si="7"/>
        <v>105</v>
      </c>
      <c r="AG71" s="680">
        <f t="shared" si="8"/>
        <v>105</v>
      </c>
      <c r="AH71" s="287"/>
      <c r="AI71" s="287">
        <v>1</v>
      </c>
      <c r="AJ71" s="287"/>
      <c r="AK71" s="693">
        <f>Zdroje!D$9</f>
        <v>840</v>
      </c>
      <c r="AL71" s="577">
        <f>AF71*AH71*AJ71</f>
        <v>0</v>
      </c>
      <c r="AM71" s="578">
        <f t="shared" si="6"/>
        <v>88200</v>
      </c>
      <c r="AN71" s="155"/>
    </row>
    <row r="72" spans="1:41" ht="16.5" x14ac:dyDescent="0.2">
      <c r="A72" s="684" t="s">
        <v>156</v>
      </c>
      <c r="B72" s="687"/>
      <c r="C72" s="275"/>
      <c r="D72" s="275"/>
      <c r="E72" s="275"/>
      <c r="F72" s="275"/>
      <c r="G72" s="275"/>
      <c r="H72" s="275"/>
      <c r="I72" s="275">
        <v>1</v>
      </c>
      <c r="J72" s="275">
        <v>1</v>
      </c>
      <c r="K72" s="275">
        <v>1</v>
      </c>
      <c r="L72" s="275">
        <v>1</v>
      </c>
      <c r="M72" s="275">
        <v>1</v>
      </c>
      <c r="N72" s="275">
        <v>1</v>
      </c>
      <c r="O72" s="274">
        <v>1</v>
      </c>
      <c r="P72" s="275">
        <v>1</v>
      </c>
      <c r="Q72" s="275"/>
      <c r="R72" s="275"/>
      <c r="S72" s="275"/>
      <c r="T72" s="275"/>
      <c r="U72" s="275"/>
      <c r="V72" s="275"/>
      <c r="W72" s="275"/>
      <c r="X72" s="275"/>
      <c r="Y72" s="275"/>
      <c r="Z72" s="274"/>
      <c r="AA72" s="275"/>
      <c r="AB72" s="275"/>
      <c r="AC72" s="275"/>
      <c r="AD72" s="275"/>
      <c r="AE72" s="276"/>
      <c r="AF72" s="678">
        <f t="shared" si="7"/>
        <v>168</v>
      </c>
      <c r="AG72" s="680">
        <f t="shared" si="8"/>
        <v>168</v>
      </c>
      <c r="AH72" s="287"/>
      <c r="AI72" s="287">
        <v>2</v>
      </c>
      <c r="AJ72" s="287"/>
      <c r="AK72" s="693">
        <f>Zdroje!D$7</f>
        <v>732</v>
      </c>
      <c r="AL72" s="577">
        <f>AF72*AH72*AJ72</f>
        <v>0</v>
      </c>
      <c r="AM72" s="578">
        <f t="shared" si="6"/>
        <v>245952</v>
      </c>
      <c r="AN72" s="155"/>
    </row>
    <row r="73" spans="1:41" ht="16.5" x14ac:dyDescent="0.2">
      <c r="A73" s="684" t="s">
        <v>157</v>
      </c>
      <c r="B73" s="687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>
        <v>1</v>
      </c>
      <c r="O73" s="274">
        <v>1</v>
      </c>
      <c r="P73" s="275">
        <v>1</v>
      </c>
      <c r="Q73" s="275">
        <v>1</v>
      </c>
      <c r="R73" s="275"/>
      <c r="S73" s="275"/>
      <c r="T73" s="275"/>
      <c r="U73" s="275"/>
      <c r="V73" s="275"/>
      <c r="W73" s="275"/>
      <c r="X73" s="275"/>
      <c r="Y73" s="275"/>
      <c r="Z73" s="274"/>
      <c r="AA73" s="275"/>
      <c r="AB73" s="275"/>
      <c r="AC73" s="275"/>
      <c r="AD73" s="275"/>
      <c r="AE73" s="276"/>
      <c r="AF73" s="678">
        <f t="shared" si="7"/>
        <v>84</v>
      </c>
      <c r="AG73" s="680">
        <f t="shared" si="8"/>
        <v>84</v>
      </c>
      <c r="AH73" s="287"/>
      <c r="AI73" s="287">
        <v>1</v>
      </c>
      <c r="AJ73" s="287"/>
      <c r="AK73" s="693">
        <f>Zdroje!D$6</f>
        <v>564</v>
      </c>
      <c r="AL73" s="577">
        <f>AF73*AH73*AJ73</f>
        <v>0</v>
      </c>
      <c r="AM73" s="578">
        <f t="shared" ref="AM73:AM89" si="9">AG73*AI73*AK73</f>
        <v>47376</v>
      </c>
      <c r="AN73" s="155"/>
    </row>
    <row r="74" spans="1:41" ht="16.5" x14ac:dyDescent="0.2">
      <c r="A74" s="684" t="s">
        <v>158</v>
      </c>
      <c r="B74" s="687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4"/>
      <c r="P74" s="275"/>
      <c r="Q74" s="275">
        <v>1</v>
      </c>
      <c r="R74" s="275">
        <v>1</v>
      </c>
      <c r="S74" s="275"/>
      <c r="T74" s="275"/>
      <c r="U74" s="275"/>
      <c r="V74" s="275"/>
      <c r="W74" s="275"/>
      <c r="X74" s="275"/>
      <c r="Y74" s="275"/>
      <c r="Z74" s="274"/>
      <c r="AA74" s="275"/>
      <c r="AB74" s="275"/>
      <c r="AC74" s="275"/>
      <c r="AD74" s="275"/>
      <c r="AE74" s="276"/>
      <c r="AF74" s="678">
        <f t="shared" si="7"/>
        <v>42</v>
      </c>
      <c r="AG74" s="680">
        <f t="shared" si="8"/>
        <v>42</v>
      </c>
      <c r="AH74" s="287"/>
      <c r="AI74" s="287">
        <v>0.5</v>
      </c>
      <c r="AJ74" s="287"/>
      <c r="AK74" s="693">
        <f>Zdroje!D$7</f>
        <v>732</v>
      </c>
      <c r="AL74" s="577">
        <f>AF74*AH74*AJ74</f>
        <v>0</v>
      </c>
      <c r="AM74" s="578">
        <f t="shared" si="9"/>
        <v>15372</v>
      </c>
      <c r="AN74" s="155"/>
    </row>
    <row r="75" spans="1:41" ht="16.5" x14ac:dyDescent="0.2">
      <c r="A75" s="684"/>
      <c r="B75" s="687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4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4"/>
      <c r="AA75" s="275"/>
      <c r="AB75" s="275"/>
      <c r="AC75" s="275"/>
      <c r="AD75" s="275"/>
      <c r="AE75" s="276"/>
      <c r="AF75" s="678">
        <f t="shared" si="7"/>
        <v>0</v>
      </c>
      <c r="AG75" s="680">
        <f t="shared" si="8"/>
        <v>0</v>
      </c>
      <c r="AH75" s="287"/>
      <c r="AI75" s="287"/>
      <c r="AJ75" s="287"/>
      <c r="AK75" s="693"/>
      <c r="AL75" s="577">
        <f>AF75*AH75*AJ75</f>
        <v>0</v>
      </c>
      <c r="AM75" s="578">
        <f t="shared" si="9"/>
        <v>0</v>
      </c>
      <c r="AN75" s="155"/>
      <c r="AO75" s="155"/>
    </row>
    <row r="76" spans="1:41" ht="16.5" x14ac:dyDescent="0.2">
      <c r="A76" s="683" t="s">
        <v>437</v>
      </c>
      <c r="B76" s="687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4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4"/>
      <c r="AA76" s="275"/>
      <c r="AB76" s="275"/>
      <c r="AC76" s="275"/>
      <c r="AD76" s="275"/>
      <c r="AE76" s="276"/>
      <c r="AF76" s="678">
        <f t="shared" si="7"/>
        <v>0</v>
      </c>
      <c r="AG76" s="680">
        <f t="shared" si="8"/>
        <v>0</v>
      </c>
      <c r="AH76" s="272"/>
      <c r="AI76" s="272"/>
      <c r="AJ76" s="272"/>
      <c r="AK76" s="694"/>
      <c r="AL76" s="577"/>
      <c r="AM76" s="578">
        <f t="shared" si="9"/>
        <v>0</v>
      </c>
      <c r="AN76" s="155"/>
    </row>
    <row r="77" spans="1:41" ht="16.5" x14ac:dyDescent="0.2">
      <c r="A77" s="684" t="s">
        <v>321</v>
      </c>
      <c r="B77" s="687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4"/>
      <c r="P77" s="275"/>
      <c r="Q77" s="275"/>
      <c r="R77" s="275"/>
      <c r="S77" s="275">
        <v>1</v>
      </c>
      <c r="T77" s="275">
        <v>1</v>
      </c>
      <c r="U77" s="275"/>
      <c r="V77" s="275"/>
      <c r="W77" s="275"/>
      <c r="X77" s="275"/>
      <c r="Y77" s="275"/>
      <c r="Z77" s="274"/>
      <c r="AA77" s="275"/>
      <c r="AB77" s="275"/>
      <c r="AC77" s="275"/>
      <c r="AD77" s="275"/>
      <c r="AE77" s="276"/>
      <c r="AF77" s="678">
        <f t="shared" si="7"/>
        <v>42</v>
      </c>
      <c r="AG77" s="680">
        <f t="shared" si="8"/>
        <v>42</v>
      </c>
      <c r="AH77" s="287"/>
      <c r="AI77" s="287">
        <v>0.5</v>
      </c>
      <c r="AJ77" s="287"/>
      <c r="AK77" s="693">
        <f>Zdroje!D$9</f>
        <v>840</v>
      </c>
      <c r="AL77" s="577">
        <f>AF77*AH77*AJ77</f>
        <v>0</v>
      </c>
      <c r="AM77" s="578">
        <f t="shared" si="9"/>
        <v>17640</v>
      </c>
      <c r="AN77" s="155"/>
    </row>
    <row r="78" spans="1:41" ht="16.5" x14ac:dyDescent="0.2">
      <c r="A78" s="684" t="s">
        <v>156</v>
      </c>
      <c r="B78" s="687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4"/>
      <c r="P78" s="275"/>
      <c r="Q78" s="275"/>
      <c r="R78" s="275"/>
      <c r="S78" s="275"/>
      <c r="T78" s="275">
        <v>1</v>
      </c>
      <c r="U78" s="275">
        <v>1</v>
      </c>
      <c r="V78" s="275">
        <v>1</v>
      </c>
      <c r="W78" s="275">
        <v>1</v>
      </c>
      <c r="X78" s="275"/>
      <c r="Y78" s="275"/>
      <c r="Z78" s="274"/>
      <c r="AA78" s="275"/>
      <c r="AB78" s="275"/>
      <c r="AC78" s="275"/>
      <c r="AD78" s="275"/>
      <c r="AE78" s="276"/>
      <c r="AF78" s="678">
        <f t="shared" si="7"/>
        <v>84</v>
      </c>
      <c r="AG78" s="680">
        <f t="shared" si="8"/>
        <v>84</v>
      </c>
      <c r="AH78" s="287"/>
      <c r="AI78" s="287">
        <v>1</v>
      </c>
      <c r="AJ78" s="287"/>
      <c r="AK78" s="693">
        <f>Zdroje!D$7</f>
        <v>732</v>
      </c>
      <c r="AL78" s="577">
        <f>AF78*AH78*AJ78</f>
        <v>0</v>
      </c>
      <c r="AM78" s="578">
        <f t="shared" si="9"/>
        <v>61488</v>
      </c>
      <c r="AN78" s="155"/>
    </row>
    <row r="79" spans="1:41" ht="16.5" x14ac:dyDescent="0.2">
      <c r="A79" s="684" t="s">
        <v>157</v>
      </c>
      <c r="B79" s="687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4"/>
      <c r="P79" s="275"/>
      <c r="Q79" s="275"/>
      <c r="R79" s="275"/>
      <c r="S79" s="275"/>
      <c r="T79" s="275"/>
      <c r="U79" s="275"/>
      <c r="V79" s="275"/>
      <c r="W79" s="275">
        <v>1</v>
      </c>
      <c r="X79" s="275">
        <v>1</v>
      </c>
      <c r="Y79" s="275"/>
      <c r="Z79" s="274"/>
      <c r="AA79" s="275"/>
      <c r="AB79" s="275"/>
      <c r="AC79" s="275"/>
      <c r="AD79" s="275"/>
      <c r="AE79" s="276"/>
      <c r="AF79" s="678">
        <f t="shared" si="7"/>
        <v>42</v>
      </c>
      <c r="AG79" s="680">
        <f t="shared" si="8"/>
        <v>42</v>
      </c>
      <c r="AH79" s="287"/>
      <c r="AI79" s="287">
        <v>1</v>
      </c>
      <c r="AJ79" s="287"/>
      <c r="AK79" s="693">
        <f>Zdroje!D$6</f>
        <v>564</v>
      </c>
      <c r="AL79" s="577">
        <f>AF79*AH79*AJ79</f>
        <v>0</v>
      </c>
      <c r="AM79" s="578">
        <f t="shared" si="9"/>
        <v>23688</v>
      </c>
      <c r="AN79" s="155"/>
    </row>
    <row r="80" spans="1:41" ht="16.5" x14ac:dyDescent="0.2">
      <c r="A80" s="684" t="s">
        <v>158</v>
      </c>
      <c r="B80" s="687"/>
      <c r="C80" s="275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4"/>
      <c r="P80" s="275"/>
      <c r="Q80" s="275"/>
      <c r="R80" s="275"/>
      <c r="S80" s="275"/>
      <c r="T80" s="275"/>
      <c r="U80" s="275"/>
      <c r="V80" s="275"/>
      <c r="W80" s="275"/>
      <c r="X80" s="275">
        <v>1</v>
      </c>
      <c r="Y80" s="275">
        <v>1</v>
      </c>
      <c r="Z80" s="274"/>
      <c r="AA80" s="275"/>
      <c r="AB80" s="275"/>
      <c r="AC80" s="275"/>
      <c r="AD80" s="275"/>
      <c r="AE80" s="276"/>
      <c r="AF80" s="678">
        <f t="shared" si="7"/>
        <v>42</v>
      </c>
      <c r="AG80" s="680">
        <f t="shared" si="8"/>
        <v>42</v>
      </c>
      <c r="AH80" s="287"/>
      <c r="AI80" s="287">
        <v>0.5</v>
      </c>
      <c r="AJ80" s="287"/>
      <c r="AK80" s="693">
        <f>Zdroje!D$7</f>
        <v>732</v>
      </c>
      <c r="AL80" s="577">
        <f>AF80*AH80*AJ80</f>
        <v>0</v>
      </c>
      <c r="AM80" s="578">
        <f t="shared" si="9"/>
        <v>15372</v>
      </c>
      <c r="AN80" s="155"/>
    </row>
    <row r="81" spans="1:41" ht="16.5" x14ac:dyDescent="0.2">
      <c r="A81" s="684"/>
      <c r="B81" s="687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4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4"/>
      <c r="AA81" s="275"/>
      <c r="AB81" s="275"/>
      <c r="AC81" s="275"/>
      <c r="AD81" s="275"/>
      <c r="AE81" s="276"/>
      <c r="AF81" s="678">
        <f t="shared" si="7"/>
        <v>0</v>
      </c>
      <c r="AG81" s="680">
        <f t="shared" si="8"/>
        <v>0</v>
      </c>
      <c r="AH81" s="287"/>
      <c r="AI81" s="287"/>
      <c r="AJ81" s="287"/>
      <c r="AK81" s="693"/>
      <c r="AL81" s="577">
        <f>AF81*AH81*AJ81</f>
        <v>0</v>
      </c>
      <c r="AM81" s="578">
        <f t="shared" si="9"/>
        <v>0</v>
      </c>
      <c r="AN81" s="155"/>
      <c r="AO81" s="155"/>
    </row>
    <row r="82" spans="1:41" ht="16.5" x14ac:dyDescent="0.2">
      <c r="A82" s="683" t="s">
        <v>383</v>
      </c>
      <c r="B82" s="687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4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4"/>
      <c r="AA82" s="275"/>
      <c r="AB82" s="275"/>
      <c r="AC82" s="275"/>
      <c r="AD82" s="275"/>
      <c r="AE82" s="276"/>
      <c r="AF82" s="678">
        <f t="shared" si="7"/>
        <v>0</v>
      </c>
      <c r="AG82" s="680">
        <f t="shared" si="8"/>
        <v>0</v>
      </c>
      <c r="AH82" s="272"/>
      <c r="AI82" s="272"/>
      <c r="AJ82" s="272"/>
      <c r="AK82" s="694"/>
      <c r="AL82" s="577"/>
      <c r="AM82" s="578">
        <f t="shared" si="9"/>
        <v>0</v>
      </c>
      <c r="AN82" s="155"/>
    </row>
    <row r="83" spans="1:41" ht="16.5" x14ac:dyDescent="0.2">
      <c r="A83" s="684" t="s">
        <v>321</v>
      </c>
      <c r="B83" s="687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4">
        <v>1</v>
      </c>
      <c r="P83" s="275">
        <v>1</v>
      </c>
      <c r="Q83" s="275">
        <v>1</v>
      </c>
      <c r="R83" s="275">
        <v>1</v>
      </c>
      <c r="S83" s="275"/>
      <c r="T83" s="275"/>
      <c r="U83" s="275"/>
      <c r="V83" s="275"/>
      <c r="W83" s="275"/>
      <c r="X83" s="275"/>
      <c r="Y83" s="275"/>
      <c r="Z83" s="274"/>
      <c r="AA83" s="275"/>
      <c r="AB83" s="275"/>
      <c r="AC83" s="275"/>
      <c r="AD83" s="275"/>
      <c r="AE83" s="276"/>
      <c r="AF83" s="678">
        <f t="shared" si="7"/>
        <v>84</v>
      </c>
      <c r="AG83" s="680">
        <f t="shared" si="8"/>
        <v>84</v>
      </c>
      <c r="AH83" s="287"/>
      <c r="AI83" s="287">
        <v>2</v>
      </c>
      <c r="AJ83" s="287"/>
      <c r="AK83" s="693">
        <f>Zdroje!D$9</f>
        <v>840</v>
      </c>
      <c r="AL83" s="577">
        <f>AF83*AH83*AJ83</f>
        <v>0</v>
      </c>
      <c r="AM83" s="578">
        <f t="shared" si="9"/>
        <v>141120</v>
      </c>
      <c r="AN83" s="155"/>
    </row>
    <row r="84" spans="1:41" ht="16.5" x14ac:dyDescent="0.2">
      <c r="A84" s="684" t="s">
        <v>156</v>
      </c>
      <c r="B84" s="687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4"/>
      <c r="P84" s="275"/>
      <c r="Q84" s="275">
        <v>1</v>
      </c>
      <c r="R84" s="275">
        <v>1</v>
      </c>
      <c r="S84" s="275">
        <v>1</v>
      </c>
      <c r="T84" s="275">
        <v>1</v>
      </c>
      <c r="U84" s="275">
        <v>1</v>
      </c>
      <c r="V84" s="275">
        <v>1</v>
      </c>
      <c r="W84" s="275">
        <v>1</v>
      </c>
      <c r="X84" s="275">
        <v>1</v>
      </c>
      <c r="Y84" s="275"/>
      <c r="Z84" s="274"/>
      <c r="AA84" s="275"/>
      <c r="AB84" s="275"/>
      <c r="AC84" s="275"/>
      <c r="AD84" s="275"/>
      <c r="AE84" s="276"/>
      <c r="AF84" s="678">
        <f t="shared" si="7"/>
        <v>168</v>
      </c>
      <c r="AG84" s="680">
        <f t="shared" si="8"/>
        <v>168</v>
      </c>
      <c r="AH84" s="287"/>
      <c r="AI84" s="287">
        <v>4</v>
      </c>
      <c r="AJ84" s="287"/>
      <c r="AK84" s="693">
        <f>Zdroje!D$7</f>
        <v>732</v>
      </c>
      <c r="AL84" s="577">
        <f>AF84*AH84*AJ84</f>
        <v>0</v>
      </c>
      <c r="AM84" s="578">
        <f t="shared" si="9"/>
        <v>491904</v>
      </c>
      <c r="AN84" s="155"/>
    </row>
    <row r="85" spans="1:41" ht="16.5" x14ac:dyDescent="0.2">
      <c r="A85" s="684" t="s">
        <v>157</v>
      </c>
      <c r="B85" s="687"/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4"/>
      <c r="P85" s="275"/>
      <c r="Q85" s="275"/>
      <c r="R85" s="275"/>
      <c r="S85" s="275"/>
      <c r="T85" s="275"/>
      <c r="U85" s="275"/>
      <c r="V85" s="275">
        <v>1</v>
      </c>
      <c r="W85" s="275">
        <v>1</v>
      </c>
      <c r="X85" s="275">
        <v>1</v>
      </c>
      <c r="Y85" s="275">
        <v>1</v>
      </c>
      <c r="Z85" s="274"/>
      <c r="AA85" s="275"/>
      <c r="AB85" s="275"/>
      <c r="AC85" s="275"/>
      <c r="AD85" s="275"/>
      <c r="AE85" s="276"/>
      <c r="AF85" s="678">
        <f t="shared" si="7"/>
        <v>84</v>
      </c>
      <c r="AG85" s="680">
        <f t="shared" si="8"/>
        <v>84</v>
      </c>
      <c r="AH85" s="287"/>
      <c r="AI85" s="287">
        <v>2</v>
      </c>
      <c r="AJ85" s="287"/>
      <c r="AK85" s="693">
        <f>Zdroje!D$6</f>
        <v>564</v>
      </c>
      <c r="AL85" s="577">
        <f>AF85*AH85*AJ85</f>
        <v>0</v>
      </c>
      <c r="AM85" s="578">
        <f t="shared" si="9"/>
        <v>94752</v>
      </c>
      <c r="AN85" s="155"/>
    </row>
    <row r="86" spans="1:41" ht="16.5" x14ac:dyDescent="0.2">
      <c r="A86" s="684" t="s">
        <v>158</v>
      </c>
      <c r="B86" s="687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4"/>
      <c r="P86" s="275"/>
      <c r="Q86" s="275"/>
      <c r="R86" s="275"/>
      <c r="S86" s="275"/>
      <c r="T86" s="275"/>
      <c r="U86" s="275"/>
      <c r="V86" s="275"/>
      <c r="W86" s="275"/>
      <c r="X86" s="275"/>
      <c r="Y86" s="275">
        <v>1</v>
      </c>
      <c r="Z86" s="274">
        <v>1</v>
      </c>
      <c r="AA86" s="275">
        <v>1</v>
      </c>
      <c r="AB86" s="275"/>
      <c r="AC86" s="275"/>
      <c r="AD86" s="275"/>
      <c r="AE86" s="276"/>
      <c r="AF86" s="678">
        <f t="shared" si="7"/>
        <v>63</v>
      </c>
      <c r="AG86" s="680">
        <f t="shared" si="8"/>
        <v>63</v>
      </c>
      <c r="AH86" s="287"/>
      <c r="AI86" s="287">
        <v>1</v>
      </c>
      <c r="AJ86" s="287"/>
      <c r="AK86" s="693">
        <f>Zdroje!D$7</f>
        <v>732</v>
      </c>
      <c r="AL86" s="577">
        <f>AF86*AH86*AJ86</f>
        <v>0</v>
      </c>
      <c r="AM86" s="578">
        <f t="shared" si="9"/>
        <v>46116</v>
      </c>
      <c r="AN86" s="155"/>
    </row>
    <row r="87" spans="1:41" ht="16.5" x14ac:dyDescent="0.2">
      <c r="A87" s="684"/>
      <c r="B87" s="687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4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4"/>
      <c r="AA87" s="275"/>
      <c r="AB87" s="275"/>
      <c r="AC87" s="275"/>
      <c r="AD87" s="275"/>
      <c r="AE87" s="276"/>
      <c r="AF87" s="678">
        <f t="shared" si="7"/>
        <v>0</v>
      </c>
      <c r="AG87" s="680">
        <f t="shared" si="8"/>
        <v>0</v>
      </c>
      <c r="AH87" s="287"/>
      <c r="AI87" s="287"/>
      <c r="AJ87" s="287"/>
      <c r="AK87" s="693"/>
      <c r="AL87" s="577"/>
      <c r="AM87" s="578">
        <f t="shared" si="9"/>
        <v>0</v>
      </c>
      <c r="AN87" s="155"/>
      <c r="AO87" s="155"/>
    </row>
    <row r="88" spans="1:41" ht="16.5" x14ac:dyDescent="0.2">
      <c r="A88" s="683" t="s">
        <v>159</v>
      </c>
      <c r="B88" s="687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4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4"/>
      <c r="AA88" s="275"/>
      <c r="AB88" s="275"/>
      <c r="AC88" s="275"/>
      <c r="AD88" s="275"/>
      <c r="AE88" s="276"/>
      <c r="AF88" s="678">
        <f t="shared" si="7"/>
        <v>0</v>
      </c>
      <c r="AG88" s="680">
        <f t="shared" si="8"/>
        <v>0</v>
      </c>
      <c r="AH88" s="272"/>
      <c r="AI88" s="272"/>
      <c r="AJ88" s="272"/>
      <c r="AK88" s="694"/>
      <c r="AL88" s="577"/>
      <c r="AM88" s="578">
        <f t="shared" si="9"/>
        <v>0</v>
      </c>
      <c r="AN88" s="155"/>
      <c r="AO88" s="155"/>
    </row>
    <row r="89" spans="1:41" ht="16.5" x14ac:dyDescent="0.2">
      <c r="A89" s="684" t="s">
        <v>463</v>
      </c>
      <c r="B89" s="687"/>
      <c r="C89" s="275"/>
      <c r="D89" s="275"/>
      <c r="E89" s="275"/>
      <c r="F89" s="275"/>
      <c r="G89" s="275"/>
      <c r="H89" s="275"/>
      <c r="I89" s="275"/>
      <c r="J89" s="275">
        <v>1</v>
      </c>
      <c r="K89" s="275">
        <v>1</v>
      </c>
      <c r="L89" s="275">
        <v>1</v>
      </c>
      <c r="M89" s="275">
        <v>1</v>
      </c>
      <c r="N89" s="275">
        <v>1</v>
      </c>
      <c r="O89" s="274">
        <v>1</v>
      </c>
      <c r="P89" s="275">
        <v>1</v>
      </c>
      <c r="Q89" s="275">
        <v>1</v>
      </c>
      <c r="R89" s="275">
        <v>1</v>
      </c>
      <c r="S89" s="275">
        <v>1</v>
      </c>
      <c r="T89" s="275">
        <v>1</v>
      </c>
      <c r="U89" s="275">
        <v>1</v>
      </c>
      <c r="V89" s="275">
        <v>1</v>
      </c>
      <c r="W89" s="275">
        <v>1</v>
      </c>
      <c r="X89" s="275">
        <v>1</v>
      </c>
      <c r="Y89" s="275">
        <v>1</v>
      </c>
      <c r="Z89" s="274">
        <v>1</v>
      </c>
      <c r="AA89" s="275">
        <v>1</v>
      </c>
      <c r="AB89" s="275">
        <v>1</v>
      </c>
      <c r="AC89" s="275">
        <v>1</v>
      </c>
      <c r="AD89" s="275"/>
      <c r="AE89" s="276"/>
      <c r="AF89" s="678">
        <f t="shared" si="7"/>
        <v>420</v>
      </c>
      <c r="AG89" s="680">
        <f t="shared" si="8"/>
        <v>420</v>
      </c>
      <c r="AH89" s="287"/>
      <c r="AI89" s="287">
        <v>1</v>
      </c>
      <c r="AJ89" s="287"/>
      <c r="AK89" s="693">
        <f>Zdroje!D$12</f>
        <v>744</v>
      </c>
      <c r="AL89" s="577">
        <f>AF89*AH89*AJ89</f>
        <v>0</v>
      </c>
      <c r="AM89" s="578">
        <f t="shared" si="9"/>
        <v>312480</v>
      </c>
      <c r="AN89" s="155"/>
      <c r="AO89" s="155"/>
    </row>
    <row r="90" spans="1:41" s="158" customFormat="1" ht="16.5" x14ac:dyDescent="0.2">
      <c r="A90" s="684"/>
      <c r="B90" s="687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4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4"/>
      <c r="AA90" s="275"/>
      <c r="AB90" s="275"/>
      <c r="AC90" s="275"/>
      <c r="AD90" s="275"/>
      <c r="AE90" s="276"/>
      <c r="AF90" s="678"/>
      <c r="AG90" s="680"/>
      <c r="AH90" s="701"/>
      <c r="AI90" s="701"/>
      <c r="AJ90" s="701"/>
      <c r="AK90" s="702"/>
      <c r="AL90" s="577"/>
      <c r="AM90" s="578"/>
      <c r="AN90" s="155"/>
      <c r="AO90" s="155"/>
    </row>
    <row r="91" spans="1:41" s="158" customFormat="1" ht="16.5" x14ac:dyDescent="0.2">
      <c r="A91" s="684"/>
      <c r="B91" s="687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4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4"/>
      <c r="AA91" s="275"/>
      <c r="AB91" s="275"/>
      <c r="AC91" s="275"/>
      <c r="AD91" s="275"/>
      <c r="AE91" s="276"/>
      <c r="AF91" s="678"/>
      <c r="AG91" s="680"/>
      <c r="AH91" s="701"/>
      <c r="AI91" s="701"/>
      <c r="AJ91" s="701"/>
      <c r="AK91" s="702"/>
      <c r="AL91" s="577"/>
      <c r="AM91" s="578"/>
      <c r="AN91" s="155"/>
      <c r="AO91" s="155"/>
    </row>
    <row r="92" spans="1:41" ht="16.5" x14ac:dyDescent="0.2">
      <c r="A92" s="684" t="s">
        <v>438</v>
      </c>
      <c r="B92" s="687"/>
      <c r="C92" s="275"/>
      <c r="D92" s="275">
        <v>1</v>
      </c>
      <c r="E92" s="275">
        <v>1</v>
      </c>
      <c r="F92" s="275">
        <v>1</v>
      </c>
      <c r="G92" s="275">
        <v>1</v>
      </c>
      <c r="H92" s="275">
        <v>1</v>
      </c>
      <c r="I92" s="275">
        <v>1</v>
      </c>
      <c r="J92" s="275">
        <v>1</v>
      </c>
      <c r="K92" s="275">
        <v>1</v>
      </c>
      <c r="L92" s="275">
        <v>1</v>
      </c>
      <c r="M92" s="275">
        <v>1</v>
      </c>
      <c r="N92" s="275"/>
      <c r="O92" s="274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4"/>
      <c r="AA92" s="275"/>
      <c r="AB92" s="275"/>
      <c r="AC92" s="275"/>
      <c r="AD92" s="275"/>
      <c r="AE92" s="276"/>
      <c r="AF92" s="678">
        <f>COUNTA(C92:AE92)*21</f>
        <v>210</v>
      </c>
      <c r="AG92" s="680">
        <f>COUNTA(C92:AE92)*21</f>
        <v>210</v>
      </c>
      <c r="AH92" s="287"/>
      <c r="AI92" s="287">
        <v>4</v>
      </c>
      <c r="AJ92" s="287"/>
      <c r="AK92" s="693">
        <f>Zdroje!D$9</f>
        <v>840</v>
      </c>
      <c r="AL92" s="577">
        <f>AF92*AH92*AJ92</f>
        <v>0</v>
      </c>
      <c r="AM92" s="578">
        <f>AG92*AI92*AK92</f>
        <v>705600</v>
      </c>
      <c r="AN92" s="155"/>
      <c r="AO92" s="155"/>
    </row>
    <row r="93" spans="1:41" ht="17.25" thickBot="1" x14ac:dyDescent="0.25">
      <c r="A93" s="684" t="s">
        <v>439</v>
      </c>
      <c r="B93" s="687"/>
      <c r="C93" s="275"/>
      <c r="D93" s="275"/>
      <c r="E93" s="275">
        <v>1</v>
      </c>
      <c r="F93" s="275">
        <v>1</v>
      </c>
      <c r="G93" s="275">
        <v>1</v>
      </c>
      <c r="H93" s="275">
        <v>1</v>
      </c>
      <c r="I93" s="275">
        <v>1</v>
      </c>
      <c r="J93" s="275">
        <v>1</v>
      </c>
      <c r="K93" s="275"/>
      <c r="L93" s="275"/>
      <c r="M93" s="275"/>
      <c r="N93" s="275"/>
      <c r="O93" s="676"/>
      <c r="P93" s="677"/>
      <c r="Q93" s="677"/>
      <c r="R93" s="677"/>
      <c r="S93" s="677"/>
      <c r="T93" s="677"/>
      <c r="U93" s="677">
        <v>1</v>
      </c>
      <c r="V93" s="677">
        <v>1</v>
      </c>
      <c r="W93" s="677">
        <v>1</v>
      </c>
      <c r="X93" s="677">
        <v>1</v>
      </c>
      <c r="Y93" s="677">
        <v>1</v>
      </c>
      <c r="Z93" s="274">
        <v>1</v>
      </c>
      <c r="AA93" s="275">
        <v>1</v>
      </c>
      <c r="AB93" s="275">
        <v>1</v>
      </c>
      <c r="AC93" s="275">
        <v>1</v>
      </c>
      <c r="AD93" s="275">
        <v>1</v>
      </c>
      <c r="AE93" s="276"/>
      <c r="AF93" s="678">
        <f>COUNTA(C93:AE93)*21</f>
        <v>336</v>
      </c>
      <c r="AG93" s="680">
        <f>COUNTA(C93:AE93)*21</f>
        <v>336</v>
      </c>
      <c r="AH93" s="287"/>
      <c r="AI93" s="287">
        <v>1</v>
      </c>
      <c r="AJ93" s="287"/>
      <c r="AK93" s="693">
        <f>Zdroje!D$11</f>
        <v>966</v>
      </c>
      <c r="AL93" s="577">
        <f>AF93*AH93*AJ93</f>
        <v>0</v>
      </c>
      <c r="AM93" s="578">
        <f>AG93*AI93*AK93</f>
        <v>324576</v>
      </c>
      <c r="AN93" s="155"/>
      <c r="AO93" s="155"/>
    </row>
    <row r="94" spans="1:41" ht="12.75" thickBot="1" x14ac:dyDescent="0.25">
      <c r="A94" s="291" t="s">
        <v>162</v>
      </c>
      <c r="B94" s="688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670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670"/>
      <c r="AA94" s="286"/>
      <c r="AB94" s="286"/>
      <c r="AC94" s="286"/>
      <c r="AD94" s="286"/>
      <c r="AE94" s="671"/>
      <c r="AF94" s="695"/>
      <c r="AG94" s="273"/>
      <c r="AH94" s="273"/>
      <c r="AI94" s="273"/>
      <c r="AJ94" s="273"/>
      <c r="AK94" s="696"/>
      <c r="AL94" s="573">
        <f>SUM(AL4:AL89)</f>
        <v>0</v>
      </c>
      <c r="AM94" s="574">
        <f>SUM(AM4:AM93)</f>
        <v>12969054</v>
      </c>
      <c r="AN94" s="157"/>
      <c r="AO94" s="157"/>
    </row>
    <row r="95" spans="1:41" x14ac:dyDescent="0.2">
      <c r="AN95" s="158"/>
      <c r="AO95" s="158"/>
    </row>
    <row r="97" spans="39:39" ht="15.75" x14ac:dyDescent="0.25">
      <c r="AM97" s="159"/>
    </row>
  </sheetData>
  <conditionalFormatting sqref="C88:Y93 C14:AB14 C4:Y4 C9:Y13 S5:Y8 C5:O8 C15:Y15 C16:F20 V16:Y18 C21:Y21 C22:F26 G23:AB24 Z15:AE21 AC22:AE25 C28:H32 I29:AA32 C27:AE27 AB28:AE31 C45:Y45 C33:Y39 C40:K44 V40:Y44 L41:U44 Z25:AB25 G17:U18 G20:Y20 G19:O19 S19:Y19 O25:V25 O26:Y26 G25:N26">
    <cfRule type="colorScale" priority="16">
      <colorScale>
        <cfvo type="num" val="0"/>
        <cfvo type="num" val="1"/>
        <color theme="0"/>
        <color theme="2" tint="-0.249977111117893"/>
      </colorScale>
    </cfRule>
  </conditionalFormatting>
  <conditionalFormatting sqref="C46:Y51">
    <cfRule type="colorScale" priority="15">
      <colorScale>
        <cfvo type="num" val="0"/>
        <cfvo type="num" val="1"/>
        <color theme="0"/>
        <color theme="2" tint="-0.249977111117893"/>
      </colorScale>
    </cfRule>
  </conditionalFormatting>
  <conditionalFormatting sqref="C52:Y57">
    <cfRule type="colorScale" priority="14">
      <colorScale>
        <cfvo type="num" val="0"/>
        <cfvo type="num" val="1"/>
        <color theme="0"/>
        <color theme="2" tint="-0.249977111117893"/>
      </colorScale>
    </cfRule>
  </conditionalFormatting>
  <conditionalFormatting sqref="C70:Y75 C87:Y87">
    <cfRule type="colorScale" priority="11">
      <colorScale>
        <cfvo type="num" val="0"/>
        <cfvo type="num" val="1"/>
        <color theme="0"/>
        <color theme="2" tint="-0.249977111117893"/>
      </colorScale>
    </cfRule>
  </conditionalFormatting>
  <conditionalFormatting sqref="C58:Y63">
    <cfRule type="colorScale" priority="13">
      <colorScale>
        <cfvo type="num" val="0"/>
        <cfvo type="num" val="1"/>
        <color theme="0"/>
        <color theme="2" tint="-0.249977111117893"/>
      </colorScale>
    </cfRule>
  </conditionalFormatting>
  <conditionalFormatting sqref="C64:Y69">
    <cfRule type="colorScale" priority="12">
      <colorScale>
        <cfvo type="num" val="0"/>
        <cfvo type="num" val="1"/>
        <color theme="0"/>
        <color theme="2" tint="-0.249977111117893"/>
      </colorScale>
    </cfRule>
  </conditionalFormatting>
  <conditionalFormatting sqref="C82:Y86">
    <cfRule type="colorScale" priority="9">
      <colorScale>
        <cfvo type="num" val="0"/>
        <cfvo type="num" val="1"/>
        <color theme="0"/>
        <color theme="2" tint="-0.249977111117893"/>
      </colorScale>
    </cfRule>
  </conditionalFormatting>
  <conditionalFormatting sqref="C76:Y81">
    <cfRule type="colorScale" priority="10">
      <colorScale>
        <cfvo type="num" val="0"/>
        <cfvo type="num" val="1"/>
        <color theme="0"/>
        <color theme="2" tint="-0.249977111117893"/>
      </colorScale>
    </cfRule>
  </conditionalFormatting>
  <conditionalFormatting sqref="Z4:AE13 Z88:AE93 AC14:AE14 AC26:AE26 Z33:AE45 AB32:AE32">
    <cfRule type="colorScale" priority="8">
      <colorScale>
        <cfvo type="num" val="0"/>
        <cfvo type="num" val="1"/>
        <color theme="0"/>
        <color theme="2" tint="-0.249977111117893"/>
      </colorScale>
    </cfRule>
  </conditionalFormatting>
  <conditionalFormatting sqref="Z46:AE51">
    <cfRule type="colorScale" priority="7">
      <colorScale>
        <cfvo type="num" val="0"/>
        <cfvo type="num" val="1"/>
        <color theme="0"/>
        <color theme="2" tint="-0.249977111117893"/>
      </colorScale>
    </cfRule>
  </conditionalFormatting>
  <conditionalFormatting sqref="Z52:AE57">
    <cfRule type="colorScale" priority="6">
      <colorScale>
        <cfvo type="num" val="0"/>
        <cfvo type="num" val="1"/>
        <color theme="0"/>
        <color theme="2" tint="-0.249977111117893"/>
      </colorScale>
    </cfRule>
  </conditionalFormatting>
  <conditionalFormatting sqref="Z70:AE75 Z87:AE87">
    <cfRule type="colorScale" priority="3">
      <colorScale>
        <cfvo type="num" val="0"/>
        <cfvo type="num" val="1"/>
        <color theme="0"/>
        <color theme="2" tint="-0.249977111117893"/>
      </colorScale>
    </cfRule>
  </conditionalFormatting>
  <conditionalFormatting sqref="Z58:AE63">
    <cfRule type="colorScale" priority="5">
      <colorScale>
        <cfvo type="num" val="0"/>
        <cfvo type="num" val="1"/>
        <color theme="0"/>
        <color theme="2" tint="-0.249977111117893"/>
      </colorScale>
    </cfRule>
  </conditionalFormatting>
  <conditionalFormatting sqref="Z64:AE69">
    <cfRule type="colorScale" priority="4">
      <colorScale>
        <cfvo type="num" val="0"/>
        <cfvo type="num" val="1"/>
        <color theme="0"/>
        <color theme="2" tint="-0.249977111117893"/>
      </colorScale>
    </cfRule>
  </conditionalFormatting>
  <conditionalFormatting sqref="Z82:AE86">
    <cfRule type="colorScale" priority="1">
      <colorScale>
        <cfvo type="num" val="0"/>
        <cfvo type="num" val="1"/>
        <color theme="0"/>
        <color theme="2" tint="-0.249977111117893"/>
      </colorScale>
    </cfRule>
  </conditionalFormatting>
  <conditionalFormatting sqref="Z76:AE81">
    <cfRule type="colorScale" priority="2">
      <colorScale>
        <cfvo type="num" val="0"/>
        <cfvo type="num" val="1"/>
        <color theme="0"/>
        <color theme="2" tint="-0.249977111117893"/>
      </colorScale>
    </cfRule>
  </conditionalFormatting>
  <pageMargins left="0.7" right="0.7" top="0.75" bottom="0.75" header="0.3" footer="0.3"/>
  <pageSetup paperSize="9" scale="3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D16"/>
  <sheetViews>
    <sheetView zoomScale="115" zoomScaleNormal="115" workbookViewId="0">
      <selection activeCell="D11" sqref="D11"/>
    </sheetView>
  </sheetViews>
  <sheetFormatPr defaultRowHeight="15" x14ac:dyDescent="0.25"/>
  <cols>
    <col min="2" max="2" width="63.140625" customWidth="1"/>
    <col min="3" max="3" width="15.42578125" bestFit="1" customWidth="1"/>
    <col min="4" max="4" width="13.42578125" bestFit="1" customWidth="1"/>
  </cols>
  <sheetData>
    <row r="2" spans="2:4" x14ac:dyDescent="0.25">
      <c r="B2" s="668" t="s">
        <v>415</v>
      </c>
    </row>
    <row r="4" spans="2:4" x14ac:dyDescent="0.25">
      <c r="B4" s="669" t="s">
        <v>416</v>
      </c>
      <c r="C4" s="669" t="s">
        <v>417</v>
      </c>
      <c r="D4" s="669" t="s">
        <v>418</v>
      </c>
    </row>
    <row r="5" spans="2:4" x14ac:dyDescent="0.25">
      <c r="B5" s="656" t="s">
        <v>419</v>
      </c>
      <c r="C5" s="656">
        <v>850</v>
      </c>
      <c r="D5" s="656">
        <f t="shared" ref="D5:D16" si="0">C5*1.2</f>
        <v>1020</v>
      </c>
    </row>
    <row r="6" spans="2:4" x14ac:dyDescent="0.25">
      <c r="B6" s="656" t="s">
        <v>420</v>
      </c>
      <c r="C6" s="656">
        <v>470</v>
      </c>
      <c r="D6" s="656">
        <f t="shared" si="0"/>
        <v>564</v>
      </c>
    </row>
    <row r="7" spans="2:4" x14ac:dyDescent="0.25">
      <c r="B7" s="656" t="s">
        <v>421</v>
      </c>
      <c r="C7" s="656">
        <v>610</v>
      </c>
      <c r="D7" s="656">
        <f t="shared" si="0"/>
        <v>732</v>
      </c>
    </row>
    <row r="8" spans="2:4" x14ac:dyDescent="0.25">
      <c r="B8" s="656" t="s">
        <v>422</v>
      </c>
      <c r="C8" s="656">
        <v>840</v>
      </c>
      <c r="D8" s="656">
        <f t="shared" si="0"/>
        <v>1008</v>
      </c>
    </row>
    <row r="9" spans="2:4" x14ac:dyDescent="0.25">
      <c r="B9" s="656" t="s">
        <v>423</v>
      </c>
      <c r="C9" s="656">
        <v>700</v>
      </c>
      <c r="D9" s="656">
        <f t="shared" si="0"/>
        <v>840</v>
      </c>
    </row>
    <row r="10" spans="2:4" x14ac:dyDescent="0.25">
      <c r="B10" s="656" t="s">
        <v>424</v>
      </c>
      <c r="C10" s="656">
        <v>650</v>
      </c>
      <c r="D10" s="656">
        <f t="shared" si="0"/>
        <v>780</v>
      </c>
    </row>
    <row r="11" spans="2:4" x14ac:dyDescent="0.25">
      <c r="B11" s="656" t="s">
        <v>425</v>
      </c>
      <c r="C11" s="656">
        <v>805</v>
      </c>
      <c r="D11" s="656">
        <f t="shared" si="0"/>
        <v>966</v>
      </c>
    </row>
    <row r="12" spans="2:4" x14ac:dyDescent="0.25">
      <c r="B12" s="656" t="s">
        <v>426</v>
      </c>
      <c r="C12" s="656">
        <v>620</v>
      </c>
      <c r="D12" s="656">
        <f t="shared" si="0"/>
        <v>744</v>
      </c>
    </row>
    <row r="13" spans="2:4" x14ac:dyDescent="0.25">
      <c r="B13" s="656" t="s">
        <v>427</v>
      </c>
      <c r="C13" s="656">
        <v>570</v>
      </c>
      <c r="D13" s="656">
        <f t="shared" si="0"/>
        <v>684</v>
      </c>
    </row>
    <row r="14" spans="2:4" x14ac:dyDescent="0.25">
      <c r="B14" s="656" t="s">
        <v>428</v>
      </c>
      <c r="C14" s="656">
        <v>510</v>
      </c>
      <c r="D14" s="656">
        <f t="shared" si="0"/>
        <v>612</v>
      </c>
    </row>
    <row r="15" spans="2:4" s="544" customFormat="1" x14ac:dyDescent="0.25">
      <c r="B15" s="656" t="s">
        <v>462</v>
      </c>
      <c r="C15" s="656">
        <v>705</v>
      </c>
      <c r="D15" s="656">
        <f>C15*1.2</f>
        <v>846</v>
      </c>
    </row>
    <row r="16" spans="2:4" x14ac:dyDescent="0.25">
      <c r="B16" s="656" t="s">
        <v>429</v>
      </c>
      <c r="C16" s="656">
        <v>530</v>
      </c>
      <c r="D16" s="656">
        <f t="shared" si="0"/>
        <v>636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F28"/>
  <sheetViews>
    <sheetView view="pageBreakPreview" zoomScale="130" zoomScaleNormal="100" zoomScaleSheetLayoutView="130" workbookViewId="0">
      <selection activeCell="C7" sqref="C7"/>
    </sheetView>
  </sheetViews>
  <sheetFormatPr defaultColWidth="8.85546875" defaultRowHeight="15" x14ac:dyDescent="0.25"/>
  <cols>
    <col min="1" max="1" width="51.42578125" customWidth="1"/>
    <col min="2" max="2" width="13.42578125" bestFit="1" customWidth="1"/>
    <col min="4" max="4" width="18.28515625" bestFit="1" customWidth="1"/>
    <col min="5" max="5" width="16" bestFit="1" customWidth="1"/>
    <col min="6" max="6" width="48.85546875" customWidth="1"/>
  </cols>
  <sheetData>
    <row r="1" spans="1:6" ht="15.75" thickBot="1" x14ac:dyDescent="0.3"/>
    <row r="2" spans="1:6" ht="15.75" thickBot="1" x14ac:dyDescent="0.3">
      <c r="A2" s="548" t="s">
        <v>332</v>
      </c>
      <c r="B2" s="548" t="s">
        <v>333</v>
      </c>
      <c r="C2" s="548" t="s">
        <v>334</v>
      </c>
      <c r="D2" s="552" t="s">
        <v>335</v>
      </c>
      <c r="E2" s="552" t="s">
        <v>336</v>
      </c>
      <c r="F2" s="548" t="s">
        <v>337</v>
      </c>
    </row>
    <row r="3" spans="1:6" x14ac:dyDescent="0.25">
      <c r="A3" s="546" t="s">
        <v>384</v>
      </c>
      <c r="B3" s="549" t="s">
        <v>385</v>
      </c>
      <c r="C3" s="549">
        <v>4</v>
      </c>
      <c r="D3" s="553">
        <v>60000</v>
      </c>
      <c r="E3" s="551">
        <f t="shared" ref="E3:E12" si="0">D3*C3*1.2</f>
        <v>288000</v>
      </c>
      <c r="F3" s="547"/>
    </row>
    <row r="4" spans="1:6" x14ac:dyDescent="0.25">
      <c r="A4" s="546" t="s">
        <v>386</v>
      </c>
      <c r="B4" s="549" t="s">
        <v>338</v>
      </c>
      <c r="C4" s="549">
        <v>2</v>
      </c>
      <c r="D4" s="553">
        <v>5000</v>
      </c>
      <c r="E4" s="551">
        <f t="shared" si="0"/>
        <v>12000</v>
      </c>
      <c r="F4" s="545"/>
    </row>
    <row r="5" spans="1:6" x14ac:dyDescent="0.25">
      <c r="A5" s="290" t="s">
        <v>387</v>
      </c>
      <c r="B5" s="550" t="s">
        <v>338</v>
      </c>
      <c r="C5" s="550">
        <v>4</v>
      </c>
      <c r="D5" s="554">
        <v>10000</v>
      </c>
      <c r="E5" s="551">
        <f t="shared" si="0"/>
        <v>48000</v>
      </c>
      <c r="F5" s="545"/>
    </row>
    <row r="6" spans="1:6" x14ac:dyDescent="0.25">
      <c r="A6" s="290" t="s">
        <v>410</v>
      </c>
      <c r="B6" s="550" t="s">
        <v>338</v>
      </c>
      <c r="C6" s="550">
        <v>14</v>
      </c>
      <c r="D6" s="554">
        <v>40000</v>
      </c>
      <c r="E6" s="551">
        <f t="shared" si="0"/>
        <v>672000</v>
      </c>
      <c r="F6" s="545"/>
    </row>
    <row r="7" spans="1:6" x14ac:dyDescent="0.25">
      <c r="A7" s="290" t="s">
        <v>411</v>
      </c>
      <c r="B7" s="550" t="s">
        <v>338</v>
      </c>
      <c r="C7" s="725">
        <v>12</v>
      </c>
      <c r="D7" s="554">
        <v>57500</v>
      </c>
      <c r="E7" s="551">
        <f t="shared" si="0"/>
        <v>828000</v>
      </c>
      <c r="F7" s="545"/>
    </row>
    <row r="8" spans="1:6" x14ac:dyDescent="0.25">
      <c r="A8" s="290" t="s">
        <v>412</v>
      </c>
      <c r="B8" s="550" t="s">
        <v>338</v>
      </c>
      <c r="C8" s="550">
        <v>2</v>
      </c>
      <c r="D8" s="554">
        <v>28800</v>
      </c>
      <c r="E8" s="551">
        <f t="shared" si="0"/>
        <v>69120</v>
      </c>
      <c r="F8" s="545"/>
    </row>
    <row r="9" spans="1:6" x14ac:dyDescent="0.25">
      <c r="A9" s="290" t="s">
        <v>413</v>
      </c>
      <c r="B9" s="550" t="s">
        <v>338</v>
      </c>
      <c r="C9" s="550">
        <v>1</v>
      </c>
      <c r="D9" s="554">
        <v>580000</v>
      </c>
      <c r="E9" s="551">
        <f t="shared" si="0"/>
        <v>696000</v>
      </c>
      <c r="F9" s="545"/>
    </row>
    <row r="10" spans="1:6" x14ac:dyDescent="0.25">
      <c r="A10" s="290" t="s">
        <v>373</v>
      </c>
      <c r="B10" s="550" t="s">
        <v>338</v>
      </c>
      <c r="C10" s="550">
        <v>2</v>
      </c>
      <c r="D10" s="554">
        <v>99000</v>
      </c>
      <c r="E10" s="551">
        <f t="shared" si="0"/>
        <v>237600</v>
      </c>
      <c r="F10" s="545"/>
    </row>
    <row r="11" spans="1:6" x14ac:dyDescent="0.25">
      <c r="A11" s="290" t="s">
        <v>414</v>
      </c>
      <c r="B11" s="550" t="s">
        <v>338</v>
      </c>
      <c r="C11" s="550">
        <v>2</v>
      </c>
      <c r="D11" s="554">
        <v>260000</v>
      </c>
      <c r="E11" s="551">
        <f t="shared" si="0"/>
        <v>624000</v>
      </c>
      <c r="F11" s="545"/>
    </row>
    <row r="12" spans="1:6" x14ac:dyDescent="0.25">
      <c r="A12" s="290" t="s">
        <v>440</v>
      </c>
      <c r="B12" s="550" t="s">
        <v>338</v>
      </c>
      <c r="C12" s="550">
        <v>1</v>
      </c>
      <c r="D12" s="554">
        <v>235280</v>
      </c>
      <c r="E12" s="551">
        <f t="shared" si="0"/>
        <v>282336</v>
      </c>
      <c r="F12" s="545"/>
    </row>
    <row r="13" spans="1:6" x14ac:dyDescent="0.25">
      <c r="A13" s="290"/>
      <c r="B13" s="550"/>
      <c r="C13" s="550"/>
      <c r="D13" s="554"/>
      <c r="E13" s="551"/>
      <c r="F13" s="545"/>
    </row>
    <row r="14" spans="1:6" x14ac:dyDescent="0.25">
      <c r="A14" s="290"/>
      <c r="B14" s="550"/>
      <c r="C14" s="550"/>
      <c r="D14" s="554"/>
      <c r="E14" s="551">
        <f t="shared" ref="E14:E28" si="1">D14*C14</f>
        <v>0</v>
      </c>
      <c r="F14" s="545"/>
    </row>
    <row r="15" spans="1:6" x14ac:dyDescent="0.25">
      <c r="A15" s="290"/>
      <c r="B15" s="550"/>
      <c r="C15" s="550"/>
      <c r="D15" s="554"/>
      <c r="E15" s="551">
        <f t="shared" si="1"/>
        <v>0</v>
      </c>
      <c r="F15" s="545"/>
    </row>
    <row r="16" spans="1:6" x14ac:dyDescent="0.25">
      <c r="A16" s="290"/>
      <c r="B16" s="550"/>
      <c r="C16" s="550"/>
      <c r="D16" s="554"/>
      <c r="E16" s="551">
        <f t="shared" si="1"/>
        <v>0</v>
      </c>
      <c r="F16" s="545"/>
    </row>
    <row r="17" spans="1:6" x14ac:dyDescent="0.25">
      <c r="A17" s="290"/>
      <c r="B17" s="550"/>
      <c r="C17" s="550"/>
      <c r="D17" s="554"/>
      <c r="E17" s="551">
        <f t="shared" si="1"/>
        <v>0</v>
      </c>
      <c r="F17" s="545"/>
    </row>
    <row r="18" spans="1:6" x14ac:dyDescent="0.25">
      <c r="A18" s="290"/>
      <c r="B18" s="550"/>
      <c r="C18" s="550"/>
      <c r="D18" s="554"/>
      <c r="E18" s="551">
        <f t="shared" si="1"/>
        <v>0</v>
      </c>
      <c r="F18" s="545"/>
    </row>
    <row r="19" spans="1:6" x14ac:dyDescent="0.25">
      <c r="A19" s="290"/>
      <c r="B19" s="550"/>
      <c r="C19" s="550"/>
      <c r="D19" s="554"/>
      <c r="E19" s="551">
        <f t="shared" si="1"/>
        <v>0</v>
      </c>
      <c r="F19" s="545"/>
    </row>
    <row r="20" spans="1:6" x14ac:dyDescent="0.25">
      <c r="A20" s="290"/>
      <c r="B20" s="550"/>
      <c r="C20" s="550"/>
      <c r="D20" s="554"/>
      <c r="E20" s="551">
        <f t="shared" si="1"/>
        <v>0</v>
      </c>
      <c r="F20" s="545"/>
    </row>
    <row r="21" spans="1:6" x14ac:dyDescent="0.25">
      <c r="A21" s="290"/>
      <c r="B21" s="550"/>
      <c r="C21" s="550"/>
      <c r="D21" s="554"/>
      <c r="E21" s="551">
        <f t="shared" si="1"/>
        <v>0</v>
      </c>
      <c r="F21" s="545"/>
    </row>
    <row r="22" spans="1:6" x14ac:dyDescent="0.25">
      <c r="A22" s="290"/>
      <c r="B22" s="550"/>
      <c r="C22" s="550"/>
      <c r="D22" s="554"/>
      <c r="E22" s="551">
        <f t="shared" si="1"/>
        <v>0</v>
      </c>
      <c r="F22" s="545"/>
    </row>
    <row r="23" spans="1:6" x14ac:dyDescent="0.25">
      <c r="A23" s="290"/>
      <c r="B23" s="550"/>
      <c r="C23" s="550"/>
      <c r="D23" s="554"/>
      <c r="E23" s="551">
        <f t="shared" si="1"/>
        <v>0</v>
      </c>
      <c r="F23" s="545"/>
    </row>
    <row r="24" spans="1:6" x14ac:dyDescent="0.25">
      <c r="A24" s="290"/>
      <c r="B24" s="550"/>
      <c r="C24" s="550"/>
      <c r="D24" s="554"/>
      <c r="E24" s="551">
        <f t="shared" si="1"/>
        <v>0</v>
      </c>
      <c r="F24" s="545"/>
    </row>
    <row r="25" spans="1:6" x14ac:dyDescent="0.25">
      <c r="A25" s="290"/>
      <c r="B25" s="550"/>
      <c r="C25" s="550"/>
      <c r="D25" s="554"/>
      <c r="E25" s="551">
        <f t="shared" si="1"/>
        <v>0</v>
      </c>
      <c r="F25" s="545"/>
    </row>
    <row r="26" spans="1:6" x14ac:dyDescent="0.25">
      <c r="A26" s="290"/>
      <c r="B26" s="550"/>
      <c r="C26" s="550"/>
      <c r="D26" s="554"/>
      <c r="E26" s="551">
        <f t="shared" si="1"/>
        <v>0</v>
      </c>
      <c r="F26" s="545"/>
    </row>
    <row r="27" spans="1:6" x14ac:dyDescent="0.25">
      <c r="A27" s="290"/>
      <c r="B27" s="550"/>
      <c r="C27" s="550"/>
      <c r="D27" s="554"/>
      <c r="E27" s="551">
        <f t="shared" si="1"/>
        <v>0</v>
      </c>
      <c r="F27" s="545"/>
    </row>
    <row r="28" spans="1:6" x14ac:dyDescent="0.25">
      <c r="A28" s="290"/>
      <c r="B28" s="550"/>
      <c r="C28" s="550"/>
      <c r="D28" s="554"/>
      <c r="E28" s="551">
        <f t="shared" si="1"/>
        <v>0</v>
      </c>
      <c r="F28" s="545"/>
    </row>
  </sheetData>
  <pageMargins left="0.7" right="0.7" top="0.75" bottom="0.75" header="0.3" footer="0.3"/>
  <pageSetup paperSize="9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E13"/>
  <sheetViews>
    <sheetView workbookViewId="0">
      <selection activeCell="E17" sqref="E17"/>
    </sheetView>
  </sheetViews>
  <sheetFormatPr defaultRowHeight="15" x14ac:dyDescent="0.25"/>
  <cols>
    <col min="1" max="1" width="31.7109375" customWidth="1"/>
    <col min="2" max="2" width="20.85546875" customWidth="1"/>
    <col min="3" max="3" width="11" customWidth="1"/>
    <col min="4" max="4" width="14.85546875" bestFit="1" customWidth="1"/>
    <col min="5" max="5" width="16.42578125" customWidth="1"/>
  </cols>
  <sheetData>
    <row r="1" spans="1:5" ht="15.75" thickBot="1" x14ac:dyDescent="0.3">
      <c r="A1" s="648" t="s">
        <v>388</v>
      </c>
      <c r="B1" s="649" t="s">
        <v>389</v>
      </c>
      <c r="C1" s="649" t="s">
        <v>390</v>
      </c>
      <c r="D1" s="649" t="s">
        <v>391</v>
      </c>
      <c r="E1" s="650" t="s">
        <v>392</v>
      </c>
    </row>
    <row r="2" spans="1:5" x14ac:dyDescent="0.25">
      <c r="A2" s="651" t="s">
        <v>393</v>
      </c>
      <c r="B2" s="703">
        <f>'Rozpočet - vývoj Aplikácií'!AM5+'Rozpočet - vývoj Aplikácií'!AM11+'Rozpočet - vývoj Aplikácií'!AM17+'Rozpočet - vývoj Aplikácií'!AM23+'Rozpočet - vývoj Aplikácií'!AM29+'Rozpočet - vývoj Aplikácií'!AM35+'Rozpočet - vývoj Aplikácií'!AM41+'Rozpočet - vývoj Aplikácií'!AM47+'Rozpočet - vývoj Aplikácií'!AM53+'Rozpočet - vývoj Aplikácií'!AM59+'Rozpočet - vývoj Aplikácií'!AM65+'Rozpočet - vývoj Aplikácií'!AM71+'Rozpočet - vývoj Aplikácií'!AM77+'Rozpočet - vývoj Aplikácií'!AM83</f>
        <v>2302020</v>
      </c>
      <c r="C2" s="652"/>
      <c r="D2" s="653" t="s">
        <v>394</v>
      </c>
      <c r="E2" s="654" t="s">
        <v>395</v>
      </c>
    </row>
    <row r="3" spans="1:5" x14ac:dyDescent="0.25">
      <c r="A3" s="655" t="s">
        <v>396</v>
      </c>
      <c r="B3" s="703">
        <f>'Rozpočet - vývoj Aplikácií'!AM6+'Rozpočet - vývoj Aplikácií'!AM12+'Rozpočet - vývoj Aplikácií'!AM18+'Rozpočet - vývoj Aplikácií'!AM24+'Rozpočet - vývoj Aplikácií'!AM30+'Rozpočet - vývoj Aplikácií'!AM36+'Rozpočet - vývoj Aplikácií'!AM42+'Rozpočet - vývoj Aplikácií'!AM48+'Rozpočet - vývoj Aplikácií'!AM54+'Rozpočet - vývoj Aplikácií'!AM60+'Rozpočet - vývoj Aplikácií'!AM66+'Rozpočet - vývoj Aplikácií'!AM72+'Rozpočet - vývoj Aplikácií'!AM78+'Rozpočet - vývoj Aplikácií'!AM84+'Rozpočet - vývoj Aplikácií'!AM89</f>
        <v>7398972</v>
      </c>
      <c r="C3" s="656"/>
      <c r="D3" s="657" t="s">
        <v>397</v>
      </c>
      <c r="E3" s="658" t="s">
        <v>398</v>
      </c>
    </row>
    <row r="4" spans="1:5" x14ac:dyDescent="0.25">
      <c r="A4" s="655" t="s">
        <v>399</v>
      </c>
      <c r="B4" s="703">
        <f>'Rozpočet - vývoj Aplikácií'!AM7+'Rozpočet - vývoj Aplikácií'!AM13+'Rozpočet - vývoj Aplikácií'!AM19+'Rozpočet - vývoj Aplikácií'!AM25+'Rozpočet - vývoj Aplikácií'!AM31+'Rozpočet - vývoj Aplikácií'!AM37+'Rozpočet - vývoj Aplikácií'!AM43+'Rozpočet - vývoj Aplikácií'!AM49+'Rozpočet - vývoj Aplikácií'!AM55+'Rozpočet - vývoj Aplikácií'!AM61+'Rozpočet - vývoj Aplikácií'!AM67+'Rozpočet - vývoj Aplikácií'!AM73+'Rozpočet - vývoj Aplikácií'!AM79+'Rozpočet - vývoj Aplikácií'!AM85</f>
        <v>1492344</v>
      </c>
      <c r="C4" s="656"/>
      <c r="D4" s="657" t="s">
        <v>400</v>
      </c>
      <c r="E4" s="658" t="s">
        <v>450</v>
      </c>
    </row>
    <row r="5" spans="1:5" x14ac:dyDescent="0.25">
      <c r="A5" s="655" t="s">
        <v>401</v>
      </c>
      <c r="B5" s="703">
        <f>'Rozpočet - vývoj Aplikácií'!AM8+'Rozpočet - vývoj Aplikácií'!AM14+'Rozpočet - vývoj Aplikácií'!AM20+'Rozpočet - vývoj Aplikácií'!AM26+'Rozpočet - vývoj Aplikácií'!AM32+'Rozpočet - vývoj Aplikácií'!AM38+'Rozpočet - vývoj Aplikácií'!AM44+'Rozpočet - vývoj Aplikácií'!AM50+'Rozpočet - vývoj Aplikácií'!AM56+'Rozpočet - vývoj Aplikácií'!AM62+'Rozpočet - vývoj Aplikácií'!AM68+'Rozpočet - vývoj Aplikácií'!AM74+'Rozpočet - vývoj Aplikácií'!AM80+'Rozpočet - vývoj Aplikácií'!AM86</f>
        <v>745542</v>
      </c>
      <c r="C5" s="656"/>
      <c r="D5" s="657" t="s">
        <v>402</v>
      </c>
      <c r="E5" s="658" t="s">
        <v>449</v>
      </c>
    </row>
    <row r="6" spans="1:5" s="544" customFormat="1" x14ac:dyDescent="0.25">
      <c r="A6" s="655" t="s">
        <v>447</v>
      </c>
      <c r="B6" s="704">
        <f>'Rozpočet - vývoj Aplikácií'!AM92</f>
        <v>705600</v>
      </c>
      <c r="C6" s="656"/>
      <c r="D6" s="657" t="s">
        <v>404</v>
      </c>
      <c r="E6" s="658" t="s">
        <v>402</v>
      </c>
    </row>
    <row r="7" spans="1:5" s="544" customFormat="1" x14ac:dyDescent="0.25">
      <c r="A7" s="655" t="s">
        <v>448</v>
      </c>
      <c r="B7" s="704">
        <f>'Rozpočet - vývoj Aplikácií'!AM93</f>
        <v>324576</v>
      </c>
      <c r="C7" s="656"/>
      <c r="D7" s="657" t="s">
        <v>394</v>
      </c>
      <c r="E7" s="658" t="s">
        <v>449</v>
      </c>
    </row>
    <row r="8" spans="1:5" x14ac:dyDescent="0.25">
      <c r="A8" s="655" t="s">
        <v>403</v>
      </c>
      <c r="B8" s="704">
        <f>SUM('TCO TO BE- SW'!F130:F132)</f>
        <v>509000</v>
      </c>
      <c r="C8" s="656"/>
      <c r="D8" s="657" t="s">
        <v>404</v>
      </c>
      <c r="E8" s="658" t="s">
        <v>405</v>
      </c>
    </row>
    <row r="9" spans="1:5" x14ac:dyDescent="0.25">
      <c r="A9" s="655" t="s">
        <v>406</v>
      </c>
      <c r="B9" s="704">
        <f>SUM('TCO TO BE- SW'!G130:G132)</f>
        <v>509000</v>
      </c>
      <c r="C9" s="656"/>
      <c r="D9" s="657" t="s">
        <v>404</v>
      </c>
      <c r="E9" s="658" t="s">
        <v>405</v>
      </c>
    </row>
    <row r="10" spans="1:5" x14ac:dyDescent="0.25">
      <c r="A10" s="655" t="s">
        <v>407</v>
      </c>
      <c r="B10" s="705">
        <f>'TCO TO BE- SW'!I48</f>
        <v>85000</v>
      </c>
      <c r="C10" s="656"/>
      <c r="D10" s="657" t="s">
        <v>405</v>
      </c>
      <c r="E10" s="658" t="s">
        <v>451</v>
      </c>
    </row>
    <row r="11" spans="1:5" x14ac:dyDescent="0.25">
      <c r="A11" s="655" t="s">
        <v>408</v>
      </c>
      <c r="B11" s="706">
        <f>SUM('TCO TO BE- SW'!F140:F142)</f>
        <v>169900</v>
      </c>
      <c r="C11" s="656"/>
      <c r="D11" s="656"/>
      <c r="E11" s="659"/>
    </row>
    <row r="12" spans="1:5" ht="15.75" thickBot="1" x14ac:dyDescent="0.3">
      <c r="A12" s="660" t="s">
        <v>409</v>
      </c>
      <c r="B12" s="661">
        <f>SUM('Rozpočet - HW a licencie'!E3:E12)</f>
        <v>3757056</v>
      </c>
      <c r="C12" s="662"/>
      <c r="D12" s="662"/>
      <c r="E12" s="663"/>
    </row>
    <row r="13" spans="1:5" ht="15.75" thickBot="1" x14ac:dyDescent="0.3">
      <c r="A13" s="664"/>
      <c r="B13" s="665">
        <f>SUM(B2:B12)</f>
        <v>17999010</v>
      </c>
      <c r="C13" s="666"/>
      <c r="D13" s="666"/>
      <c r="E13" s="66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Q28"/>
  <sheetViews>
    <sheetView view="pageBreakPreview" zoomScale="130" zoomScaleNormal="80" zoomScaleSheetLayoutView="130" workbookViewId="0">
      <selection activeCell="Z4" sqref="Z4"/>
    </sheetView>
  </sheetViews>
  <sheetFormatPr defaultColWidth="8.7109375" defaultRowHeight="12" x14ac:dyDescent="0.2"/>
  <cols>
    <col min="1" max="1" width="36.28515625" style="146" customWidth="1"/>
    <col min="2" max="2" width="39.85546875" style="146" customWidth="1"/>
    <col min="3" max="3" width="3.28515625" style="146" customWidth="1"/>
    <col min="4" max="24" width="3.7109375" style="146" customWidth="1"/>
    <col min="25" max="25" width="4.42578125" style="146" customWidth="1"/>
    <col min="26" max="28" width="16.42578125" style="146" customWidth="1"/>
    <col min="29" max="29" width="18.140625" style="146" customWidth="1"/>
    <col min="30" max="30" width="9" style="146" customWidth="1"/>
    <col min="31" max="31" width="9.140625" style="146" customWidth="1"/>
    <col min="32" max="32" width="9" style="146" customWidth="1"/>
    <col min="33" max="33" width="10.7109375" style="147" customWidth="1"/>
    <col min="34" max="36" width="10.7109375" style="146" customWidth="1"/>
    <col min="37" max="37" width="52.140625" style="146" customWidth="1"/>
    <col min="38" max="38" width="51.7109375" style="146" customWidth="1"/>
    <col min="39" max="42" width="8.7109375" style="146" customWidth="1"/>
    <col min="43" max="43" width="18.85546875" style="146" customWidth="1"/>
    <col min="44" max="44" width="8.7109375" style="146" customWidth="1"/>
    <col min="45" max="16384" width="8.7109375" style="146"/>
  </cols>
  <sheetData>
    <row r="1" spans="1:43" ht="26.1" customHeight="1" thickBot="1" x14ac:dyDescent="0.25">
      <c r="A1" s="833" t="s">
        <v>210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  <c r="V1" s="833"/>
      <c r="W1" s="833"/>
      <c r="X1" s="833"/>
      <c r="Y1" s="833"/>
      <c r="Z1" s="555"/>
      <c r="AA1" s="555"/>
      <c r="AB1" s="555"/>
      <c r="AC1" s="555"/>
      <c r="AD1" s="833" t="s">
        <v>208</v>
      </c>
      <c r="AE1" s="833"/>
      <c r="AF1" s="833"/>
      <c r="AG1" s="833"/>
      <c r="AH1" s="833"/>
      <c r="AI1" s="833"/>
      <c r="AJ1" s="833"/>
      <c r="AK1" s="833"/>
    </row>
    <row r="2" spans="1:43" ht="36" customHeight="1" thickBot="1" x14ac:dyDescent="0.25">
      <c r="A2" s="263"/>
      <c r="B2" s="262"/>
      <c r="C2" s="264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5"/>
      <c r="Z2" s="834" t="s">
        <v>283</v>
      </c>
      <c r="AA2" s="835"/>
      <c r="AB2" s="835"/>
      <c r="AC2" s="835"/>
      <c r="AD2" s="835"/>
      <c r="AE2" s="835"/>
      <c r="AF2" s="835"/>
      <c r="AG2" s="835"/>
      <c r="AH2" s="835"/>
      <c r="AI2" s="835"/>
      <c r="AJ2" s="835"/>
      <c r="AK2" s="836"/>
      <c r="AL2" s="825" t="s">
        <v>282</v>
      </c>
      <c r="AM2" s="826"/>
      <c r="AN2" s="826"/>
      <c r="AO2" s="826"/>
      <c r="AP2" s="826"/>
      <c r="AQ2" s="827"/>
    </row>
    <row r="3" spans="1:43" ht="36" customHeight="1" thickBot="1" x14ac:dyDescent="0.25">
      <c r="A3" s="344"/>
      <c r="B3" s="342"/>
      <c r="C3" s="343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1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1"/>
      <c r="Z3" s="825" t="s">
        <v>342</v>
      </c>
      <c r="AA3" s="826"/>
      <c r="AB3" s="826"/>
      <c r="AC3" s="826"/>
      <c r="AD3" s="825" t="s">
        <v>343</v>
      </c>
      <c r="AE3" s="826"/>
      <c r="AF3" s="826"/>
      <c r="AG3" s="826"/>
      <c r="AH3" s="826"/>
      <c r="AI3" s="826"/>
      <c r="AJ3" s="826"/>
      <c r="AK3" s="827"/>
      <c r="AL3" s="268"/>
      <c r="AM3" s="269"/>
      <c r="AN3" s="269"/>
      <c r="AO3" s="269"/>
      <c r="AP3" s="269"/>
      <c r="AQ3" s="259"/>
    </row>
    <row r="4" spans="1:43" ht="51" customHeight="1" x14ac:dyDescent="0.2">
      <c r="A4" s="344" t="s">
        <v>211</v>
      </c>
      <c r="B4" s="641" t="s">
        <v>355</v>
      </c>
      <c r="C4" s="343" t="s">
        <v>125</v>
      </c>
      <c r="D4" s="342" t="s">
        <v>126</v>
      </c>
      <c r="E4" s="342" t="s">
        <v>127</v>
      </c>
      <c r="F4" s="342" t="s">
        <v>128</v>
      </c>
      <c r="G4" s="342" t="s">
        <v>129</v>
      </c>
      <c r="H4" s="342" t="s">
        <v>130</v>
      </c>
      <c r="I4" s="342" t="s">
        <v>131</v>
      </c>
      <c r="J4" s="342" t="s">
        <v>132</v>
      </c>
      <c r="K4" s="342" t="s">
        <v>133</v>
      </c>
      <c r="L4" s="342" t="s">
        <v>134</v>
      </c>
      <c r="M4" s="342" t="s">
        <v>135</v>
      </c>
      <c r="N4" s="341" t="s">
        <v>136</v>
      </c>
      <c r="O4" s="342" t="s">
        <v>137</v>
      </c>
      <c r="P4" s="342" t="s">
        <v>138</v>
      </c>
      <c r="Q4" s="342" t="s">
        <v>139</v>
      </c>
      <c r="R4" s="342" t="s">
        <v>140</v>
      </c>
      <c r="S4" s="342" t="s">
        <v>141</v>
      </c>
      <c r="T4" s="342" t="s">
        <v>142</v>
      </c>
      <c r="U4" s="342" t="s">
        <v>143</v>
      </c>
      <c r="V4" s="342" t="s">
        <v>144</v>
      </c>
      <c r="W4" s="342" t="s">
        <v>145</v>
      </c>
      <c r="X4" s="342" t="s">
        <v>146</v>
      </c>
      <c r="Y4" s="341" t="s">
        <v>147</v>
      </c>
      <c r="Z4" s="264" t="s">
        <v>344</v>
      </c>
      <c r="AA4" s="262" t="s">
        <v>345</v>
      </c>
      <c r="AB4" s="262" t="s">
        <v>346</v>
      </c>
      <c r="AC4" s="262" t="s">
        <v>347</v>
      </c>
      <c r="AD4" s="266" t="s">
        <v>203</v>
      </c>
      <c r="AE4" s="267" t="s">
        <v>204</v>
      </c>
      <c r="AF4" s="267" t="s">
        <v>205</v>
      </c>
      <c r="AG4" s="259" t="s">
        <v>207</v>
      </c>
      <c r="AH4" s="259" t="s">
        <v>206</v>
      </c>
      <c r="AI4" s="259" t="s">
        <v>163</v>
      </c>
      <c r="AJ4" s="828" t="s">
        <v>209</v>
      </c>
      <c r="AK4" s="617" t="s">
        <v>212</v>
      </c>
      <c r="AL4" s="617" t="s">
        <v>281</v>
      </c>
      <c r="AM4" s="266" t="s">
        <v>203</v>
      </c>
      <c r="AN4" s="267" t="s">
        <v>204</v>
      </c>
      <c r="AO4" s="267" t="s">
        <v>205</v>
      </c>
      <c r="AP4" s="259" t="s">
        <v>207</v>
      </c>
      <c r="AQ4" s="831" t="s">
        <v>280</v>
      </c>
    </row>
    <row r="5" spans="1:43" ht="1.9" customHeight="1" thickBot="1" x14ac:dyDescent="0.25">
      <c r="A5" s="149"/>
      <c r="B5" s="150"/>
      <c r="C5" s="151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2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2"/>
      <c r="Z5" s="151"/>
      <c r="AA5" s="150"/>
      <c r="AB5" s="150"/>
      <c r="AC5" s="150"/>
      <c r="AD5" s="268"/>
      <c r="AE5" s="269"/>
      <c r="AF5" s="269"/>
      <c r="AG5" s="277"/>
      <c r="AH5" s="277"/>
      <c r="AI5" s="277"/>
      <c r="AJ5" s="829"/>
      <c r="AK5" s="340"/>
      <c r="AL5" s="279"/>
      <c r="AM5" s="268"/>
      <c r="AN5" s="269"/>
      <c r="AO5" s="269"/>
      <c r="AP5" s="277"/>
      <c r="AQ5" s="832"/>
    </row>
    <row r="6" spans="1:43" s="158" customFormat="1" ht="15" customHeight="1" x14ac:dyDescent="0.2">
      <c r="A6" s="260" t="s">
        <v>379</v>
      </c>
      <c r="B6" s="260" t="s">
        <v>465</v>
      </c>
      <c r="C6" s="351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3"/>
      <c r="Z6" s="619"/>
      <c r="AA6" s="620"/>
      <c r="AB6" s="620"/>
      <c r="AC6" s="621"/>
      <c r="AD6" s="582"/>
      <c r="AE6" s="287"/>
      <c r="AF6" s="287"/>
      <c r="AG6" s="572">
        <f t="shared" ref="AG6:AG14" si="0">AD6*AF6+AC6</f>
        <v>0</v>
      </c>
      <c r="AH6" s="572">
        <f t="shared" ref="AH6:AH14" si="1">AE6*AF6+AC6</f>
        <v>0</v>
      </c>
      <c r="AI6" s="572">
        <f t="shared" ref="AI6:AI14" si="2">AH6-AG6</f>
        <v>0</v>
      </c>
      <c r="AJ6" s="829"/>
      <c r="AK6" s="584"/>
      <c r="AL6" s="581"/>
      <c r="AM6" s="582"/>
      <c r="AN6" s="287"/>
      <c r="AO6" s="287"/>
      <c r="AP6" s="572">
        <f t="shared" ref="AP6:AP14" si="3">AM6*AO6</f>
        <v>0</v>
      </c>
      <c r="AQ6" s="584"/>
    </row>
    <row r="7" spans="1:43" s="158" customFormat="1" ht="15" customHeight="1" x14ac:dyDescent="0.2">
      <c r="A7" s="260" t="s">
        <v>371</v>
      </c>
      <c r="B7" s="260" t="s">
        <v>465</v>
      </c>
      <c r="C7" s="354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6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6"/>
      <c r="Z7" s="622"/>
      <c r="AA7" s="623"/>
      <c r="AB7" s="623"/>
      <c r="AC7" s="624"/>
      <c r="AD7" s="582"/>
      <c r="AE7" s="287"/>
      <c r="AF7" s="287"/>
      <c r="AG7" s="572">
        <f t="shared" si="0"/>
        <v>0</v>
      </c>
      <c r="AH7" s="572">
        <f t="shared" si="1"/>
        <v>0</v>
      </c>
      <c r="AI7" s="572">
        <f t="shared" si="2"/>
        <v>0</v>
      </c>
      <c r="AJ7" s="829"/>
      <c r="AK7" s="585"/>
      <c r="AL7" s="582"/>
      <c r="AM7" s="582"/>
      <c r="AN7" s="287"/>
      <c r="AO7" s="287"/>
      <c r="AP7" s="572">
        <f t="shared" si="3"/>
        <v>0</v>
      </c>
      <c r="AQ7" s="585"/>
    </row>
    <row r="8" spans="1:43" s="158" customFormat="1" ht="15" customHeight="1" x14ac:dyDescent="0.2">
      <c r="A8" s="260" t="s">
        <v>380</v>
      </c>
      <c r="B8" s="260" t="s">
        <v>465</v>
      </c>
      <c r="C8" s="354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6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6"/>
      <c r="Z8" s="622"/>
      <c r="AA8" s="623"/>
      <c r="AB8" s="623"/>
      <c r="AC8" s="624"/>
      <c r="AD8" s="582"/>
      <c r="AE8" s="287"/>
      <c r="AF8" s="287"/>
      <c r="AG8" s="572">
        <f t="shared" si="0"/>
        <v>0</v>
      </c>
      <c r="AH8" s="572">
        <f t="shared" si="1"/>
        <v>0</v>
      </c>
      <c r="AI8" s="572">
        <f t="shared" si="2"/>
        <v>0</v>
      </c>
      <c r="AJ8" s="829"/>
      <c r="AK8" s="585"/>
      <c r="AL8" s="582"/>
      <c r="AM8" s="582"/>
      <c r="AN8" s="287"/>
      <c r="AO8" s="287"/>
      <c r="AP8" s="572">
        <f t="shared" si="3"/>
        <v>0</v>
      </c>
      <c r="AQ8" s="585"/>
    </row>
    <row r="9" spans="1:43" s="158" customFormat="1" ht="15" customHeight="1" thickBot="1" x14ac:dyDescent="0.25">
      <c r="A9" s="260" t="s">
        <v>372</v>
      </c>
      <c r="B9" s="260" t="s">
        <v>465</v>
      </c>
      <c r="C9" s="354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6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6"/>
      <c r="Z9" s="622"/>
      <c r="AA9" s="623"/>
      <c r="AB9" s="623"/>
      <c r="AC9" s="624"/>
      <c r="AD9" s="582"/>
      <c r="AE9" s="287"/>
      <c r="AF9" s="287"/>
      <c r="AG9" s="572">
        <f t="shared" si="0"/>
        <v>0</v>
      </c>
      <c r="AH9" s="572">
        <f t="shared" si="1"/>
        <v>0</v>
      </c>
      <c r="AI9" s="572">
        <f t="shared" si="2"/>
        <v>0</v>
      </c>
      <c r="AJ9" s="829"/>
      <c r="AK9" s="585"/>
      <c r="AL9" s="582"/>
      <c r="AM9" s="582"/>
      <c r="AN9" s="287"/>
      <c r="AO9" s="287"/>
      <c r="AP9" s="572">
        <f t="shared" si="3"/>
        <v>0</v>
      </c>
      <c r="AQ9" s="585"/>
    </row>
    <row r="10" spans="1:43" s="158" customFormat="1" ht="15" customHeight="1" x14ac:dyDescent="0.2">
      <c r="A10" s="260" t="s">
        <v>373</v>
      </c>
      <c r="B10" s="260" t="s">
        <v>465</v>
      </c>
      <c r="C10" s="351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3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3"/>
      <c r="Z10" s="619"/>
      <c r="AA10" s="620"/>
      <c r="AB10" s="620"/>
      <c r="AC10" s="621"/>
      <c r="AD10" s="582"/>
      <c r="AE10" s="287"/>
      <c r="AF10" s="287"/>
      <c r="AG10" s="572">
        <f t="shared" si="0"/>
        <v>0</v>
      </c>
      <c r="AH10" s="572">
        <f t="shared" si="1"/>
        <v>0</v>
      </c>
      <c r="AI10" s="572">
        <f t="shared" si="2"/>
        <v>0</v>
      </c>
      <c r="AJ10" s="829"/>
      <c r="AK10" s="584"/>
      <c r="AL10" s="581"/>
      <c r="AM10" s="582"/>
      <c r="AN10" s="287"/>
      <c r="AO10" s="287"/>
      <c r="AP10" s="572">
        <f t="shared" si="3"/>
        <v>0</v>
      </c>
      <c r="AQ10" s="584"/>
    </row>
    <row r="11" spans="1:43" s="158" customFormat="1" ht="15" customHeight="1" x14ac:dyDescent="0.2">
      <c r="A11" s="260" t="s">
        <v>381</v>
      </c>
      <c r="B11" s="260" t="s">
        <v>465</v>
      </c>
      <c r="C11" s="354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6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6"/>
      <c r="Z11" s="622"/>
      <c r="AA11" s="623"/>
      <c r="AB11" s="623"/>
      <c r="AC11" s="624"/>
      <c r="AD11" s="582"/>
      <c r="AE11" s="287"/>
      <c r="AF11" s="287"/>
      <c r="AG11" s="572">
        <f t="shared" si="0"/>
        <v>0</v>
      </c>
      <c r="AH11" s="572">
        <f t="shared" si="1"/>
        <v>0</v>
      </c>
      <c r="AI11" s="572">
        <f t="shared" si="2"/>
        <v>0</v>
      </c>
      <c r="AJ11" s="829"/>
      <c r="AK11" s="585"/>
      <c r="AL11" s="582"/>
      <c r="AM11" s="582"/>
      <c r="AN11" s="287"/>
      <c r="AO11" s="287"/>
      <c r="AP11" s="572">
        <f t="shared" si="3"/>
        <v>0</v>
      </c>
      <c r="AQ11" s="585"/>
    </row>
    <row r="12" spans="1:43" s="158" customFormat="1" ht="15" customHeight="1" x14ac:dyDescent="0.2">
      <c r="A12" s="260" t="s">
        <v>374</v>
      </c>
      <c r="B12" s="260" t="s">
        <v>465</v>
      </c>
      <c r="C12" s="354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6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6"/>
      <c r="Z12" s="622"/>
      <c r="AA12" s="623"/>
      <c r="AB12" s="623"/>
      <c r="AC12" s="624"/>
      <c r="AD12" s="582"/>
      <c r="AE12" s="287"/>
      <c r="AF12" s="287"/>
      <c r="AG12" s="572">
        <f t="shared" si="0"/>
        <v>0</v>
      </c>
      <c r="AH12" s="572">
        <f t="shared" si="1"/>
        <v>0</v>
      </c>
      <c r="AI12" s="572">
        <f t="shared" si="2"/>
        <v>0</v>
      </c>
      <c r="AJ12" s="829"/>
      <c r="AK12" s="585"/>
      <c r="AL12" s="582"/>
      <c r="AM12" s="582"/>
      <c r="AN12" s="287"/>
      <c r="AO12" s="287"/>
      <c r="AP12" s="572">
        <f t="shared" si="3"/>
        <v>0</v>
      </c>
      <c r="AQ12" s="585"/>
    </row>
    <row r="13" spans="1:43" s="158" customFormat="1" ht="15" customHeight="1" x14ac:dyDescent="0.2">
      <c r="A13" s="260" t="s">
        <v>382</v>
      </c>
      <c r="B13" s="260" t="s">
        <v>465</v>
      </c>
      <c r="C13" s="354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6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6"/>
      <c r="Z13" s="622"/>
      <c r="AA13" s="623"/>
      <c r="AB13" s="623"/>
      <c r="AC13" s="624"/>
      <c r="AD13" s="582"/>
      <c r="AE13" s="287"/>
      <c r="AF13" s="287"/>
      <c r="AG13" s="572">
        <f t="shared" si="0"/>
        <v>0</v>
      </c>
      <c r="AH13" s="572">
        <f t="shared" si="1"/>
        <v>0</v>
      </c>
      <c r="AI13" s="572">
        <f t="shared" si="2"/>
        <v>0</v>
      </c>
      <c r="AJ13" s="829"/>
      <c r="AK13" s="585"/>
      <c r="AL13" s="582"/>
      <c r="AM13" s="582"/>
      <c r="AN13" s="287"/>
      <c r="AO13" s="287"/>
      <c r="AP13" s="572">
        <f t="shared" si="3"/>
        <v>0</v>
      </c>
      <c r="AQ13" s="585"/>
    </row>
    <row r="14" spans="1:43" s="158" customFormat="1" ht="15" customHeight="1" thickBot="1" x14ac:dyDescent="0.25">
      <c r="A14" s="260" t="s">
        <v>375</v>
      </c>
      <c r="B14" s="260" t="s">
        <v>465</v>
      </c>
      <c r="C14" s="354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6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6"/>
      <c r="Z14" s="622"/>
      <c r="AA14" s="623"/>
      <c r="AB14" s="623"/>
      <c r="AC14" s="624"/>
      <c r="AD14" s="582"/>
      <c r="AE14" s="287"/>
      <c r="AF14" s="287"/>
      <c r="AG14" s="572">
        <f t="shared" si="0"/>
        <v>0</v>
      </c>
      <c r="AH14" s="572">
        <f t="shared" si="1"/>
        <v>0</v>
      </c>
      <c r="AI14" s="572">
        <f t="shared" si="2"/>
        <v>0</v>
      </c>
      <c r="AJ14" s="829"/>
      <c r="AK14" s="585"/>
      <c r="AL14" s="582"/>
      <c r="AM14" s="582"/>
      <c r="AN14" s="287"/>
      <c r="AO14" s="287"/>
      <c r="AP14" s="572">
        <f t="shared" si="3"/>
        <v>0</v>
      </c>
      <c r="AQ14" s="585"/>
    </row>
    <row r="15" spans="1:43" s="158" customFormat="1" ht="15" customHeight="1" x14ac:dyDescent="0.2">
      <c r="A15" s="260" t="s">
        <v>376</v>
      </c>
      <c r="B15" s="260" t="s">
        <v>465</v>
      </c>
      <c r="C15" s="351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3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3"/>
      <c r="Z15" s="619"/>
      <c r="AA15" s="620"/>
      <c r="AB15" s="620"/>
      <c r="AC15" s="621"/>
      <c r="AD15" s="582"/>
      <c r="AE15" s="287"/>
      <c r="AF15" s="287"/>
      <c r="AG15" s="572">
        <f>AD15*AF15+AC15</f>
        <v>0</v>
      </c>
      <c r="AH15" s="572">
        <f>AE15*AF15+AC15</f>
        <v>0</v>
      </c>
      <c r="AI15" s="572">
        <f>AH15-AG15</f>
        <v>0</v>
      </c>
      <c r="AJ15" s="829"/>
      <c r="AK15" s="584"/>
      <c r="AL15" s="581"/>
      <c r="AM15" s="582"/>
      <c r="AN15" s="287"/>
      <c r="AO15" s="287"/>
      <c r="AP15" s="572">
        <f>AM15*AO15</f>
        <v>0</v>
      </c>
      <c r="AQ15" s="584"/>
    </row>
    <row r="16" spans="1:43" s="158" customFormat="1" ht="15" customHeight="1" x14ac:dyDescent="0.2">
      <c r="A16" s="260" t="s">
        <v>377</v>
      </c>
      <c r="B16" s="260" t="s">
        <v>465</v>
      </c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6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6"/>
      <c r="Z16" s="622"/>
      <c r="AA16" s="623"/>
      <c r="AB16" s="623"/>
      <c r="AC16" s="624"/>
      <c r="AD16" s="582"/>
      <c r="AE16" s="287"/>
      <c r="AF16" s="287"/>
      <c r="AG16" s="572">
        <f>AD16*AF16+AC16</f>
        <v>0</v>
      </c>
      <c r="AH16" s="572">
        <f>AE16*AF16+AC16</f>
        <v>0</v>
      </c>
      <c r="AI16" s="572">
        <f>AH16-AG16</f>
        <v>0</v>
      </c>
      <c r="AJ16" s="829"/>
      <c r="AK16" s="585"/>
      <c r="AL16" s="582"/>
      <c r="AM16" s="582"/>
      <c r="AN16" s="287"/>
      <c r="AO16" s="287"/>
      <c r="AP16" s="572">
        <f>AM16*AO16</f>
        <v>0</v>
      </c>
      <c r="AQ16" s="585"/>
    </row>
    <row r="17" spans="1:43" s="158" customFormat="1" ht="15" customHeight="1" x14ac:dyDescent="0.2">
      <c r="A17" s="260" t="s">
        <v>378</v>
      </c>
      <c r="B17" s="260" t="s">
        <v>465</v>
      </c>
      <c r="C17" s="354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6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6"/>
      <c r="Z17" s="622"/>
      <c r="AA17" s="623"/>
      <c r="AB17" s="623"/>
      <c r="AC17" s="624"/>
      <c r="AD17" s="582"/>
      <c r="AE17" s="287"/>
      <c r="AF17" s="287"/>
      <c r="AG17" s="572">
        <f>AD17*AF17+AC17</f>
        <v>0</v>
      </c>
      <c r="AH17" s="572">
        <f>AE17*AF17+AC17</f>
        <v>0</v>
      </c>
      <c r="AI17" s="572">
        <f>AH17-AG17</f>
        <v>0</v>
      </c>
      <c r="AJ17" s="829"/>
      <c r="AK17" s="585"/>
      <c r="AL17" s="582"/>
      <c r="AM17" s="582"/>
      <c r="AN17" s="287"/>
      <c r="AO17" s="287"/>
      <c r="AP17" s="572">
        <f>AM17*AO17</f>
        <v>0</v>
      </c>
      <c r="AQ17" s="585"/>
    </row>
    <row r="18" spans="1:43" s="158" customFormat="1" ht="15" customHeight="1" thickBot="1" x14ac:dyDescent="0.25">
      <c r="A18" s="260" t="s">
        <v>437</v>
      </c>
      <c r="B18" s="260" t="s">
        <v>465</v>
      </c>
      <c r="C18" s="354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6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6"/>
      <c r="Z18" s="622"/>
      <c r="AA18" s="623"/>
      <c r="AB18" s="623"/>
      <c r="AC18" s="624"/>
      <c r="AD18" s="582"/>
      <c r="AE18" s="287"/>
      <c r="AF18" s="287"/>
      <c r="AG18" s="572">
        <f>AD18*AF18+AC18</f>
        <v>0</v>
      </c>
      <c r="AH18" s="572">
        <f>AE18*AF18+AC18</f>
        <v>0</v>
      </c>
      <c r="AI18" s="572">
        <f>AH18-AG18</f>
        <v>0</v>
      </c>
      <c r="AJ18" s="829"/>
      <c r="AK18" s="585"/>
      <c r="AL18" s="582"/>
      <c r="AM18" s="582"/>
      <c r="AN18" s="287"/>
      <c r="AO18" s="287"/>
      <c r="AP18" s="572">
        <f>AM18*AO18</f>
        <v>0</v>
      </c>
      <c r="AQ18" s="585"/>
    </row>
    <row r="19" spans="1:43" ht="15" customHeight="1" x14ac:dyDescent="0.2">
      <c r="A19" s="260" t="s">
        <v>383</v>
      </c>
      <c r="B19" s="260" t="s">
        <v>465</v>
      </c>
      <c r="C19" s="351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3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3"/>
      <c r="Z19" s="619"/>
      <c r="AA19" s="620"/>
      <c r="AB19" s="620"/>
      <c r="AC19" s="621"/>
      <c r="AD19" s="582"/>
      <c r="AE19" s="287"/>
      <c r="AF19" s="287"/>
      <c r="AG19" s="572">
        <f t="shared" ref="AG19:AG24" si="4">AD19*AF19+AC19</f>
        <v>0</v>
      </c>
      <c r="AH19" s="572">
        <f t="shared" ref="AH19:AH24" si="5">AE19*AF19+AC19</f>
        <v>0</v>
      </c>
      <c r="AI19" s="572">
        <f t="shared" ref="AI19:AI24" si="6">AH19-AG19</f>
        <v>0</v>
      </c>
      <c r="AJ19" s="829"/>
      <c r="AK19" s="584"/>
      <c r="AL19" s="581"/>
      <c r="AM19" s="582"/>
      <c r="AN19" s="287"/>
      <c r="AO19" s="287"/>
      <c r="AP19" s="572">
        <f t="shared" ref="AP19:AP24" si="7">AM19*AO19</f>
        <v>0</v>
      </c>
      <c r="AQ19" s="584"/>
    </row>
    <row r="20" spans="1:43" ht="15" customHeight="1" x14ac:dyDescent="0.2">
      <c r="A20" s="260" t="s">
        <v>159</v>
      </c>
      <c r="B20" s="260" t="s">
        <v>465</v>
      </c>
      <c r="C20" s="354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6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6"/>
      <c r="Z20" s="622"/>
      <c r="AA20" s="623"/>
      <c r="AB20" s="623"/>
      <c r="AC20" s="624"/>
      <c r="AD20" s="582"/>
      <c r="AE20" s="287"/>
      <c r="AF20" s="287"/>
      <c r="AG20" s="572">
        <f t="shared" si="4"/>
        <v>0</v>
      </c>
      <c r="AH20" s="572">
        <f t="shared" si="5"/>
        <v>0</v>
      </c>
      <c r="AI20" s="572">
        <f t="shared" si="6"/>
        <v>0</v>
      </c>
      <c r="AJ20" s="829"/>
      <c r="AK20" s="585"/>
      <c r="AL20" s="582"/>
      <c r="AM20" s="582"/>
      <c r="AN20" s="287"/>
      <c r="AO20" s="287"/>
      <c r="AP20" s="572">
        <f t="shared" si="7"/>
        <v>0</v>
      </c>
      <c r="AQ20" s="585"/>
    </row>
    <row r="21" spans="1:43" ht="15" customHeight="1" x14ac:dyDescent="0.2">
      <c r="A21" s="260" t="s">
        <v>438</v>
      </c>
      <c r="B21" s="260" t="s">
        <v>465</v>
      </c>
      <c r="C21" s="354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6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6"/>
      <c r="Z21" s="622"/>
      <c r="AA21" s="623"/>
      <c r="AB21" s="623"/>
      <c r="AC21" s="624"/>
      <c r="AD21" s="582"/>
      <c r="AE21" s="287"/>
      <c r="AF21" s="287"/>
      <c r="AG21" s="572">
        <f t="shared" si="4"/>
        <v>0</v>
      </c>
      <c r="AH21" s="572">
        <f t="shared" si="5"/>
        <v>0</v>
      </c>
      <c r="AI21" s="572">
        <f t="shared" si="6"/>
        <v>0</v>
      </c>
      <c r="AJ21" s="829"/>
      <c r="AK21" s="585"/>
      <c r="AL21" s="582"/>
      <c r="AM21" s="582"/>
      <c r="AN21" s="287"/>
      <c r="AO21" s="287"/>
      <c r="AP21" s="572">
        <f t="shared" si="7"/>
        <v>0</v>
      </c>
      <c r="AQ21" s="585"/>
    </row>
    <row r="22" spans="1:43" ht="15" customHeight="1" x14ac:dyDescent="0.2">
      <c r="A22" s="260" t="s">
        <v>439</v>
      </c>
      <c r="B22" s="260" t="s">
        <v>465</v>
      </c>
      <c r="C22" s="354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6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6"/>
      <c r="Z22" s="622"/>
      <c r="AA22" s="623"/>
      <c r="AB22" s="623"/>
      <c r="AC22" s="624"/>
      <c r="AD22" s="582"/>
      <c r="AE22" s="287"/>
      <c r="AF22" s="287"/>
      <c r="AG22" s="572">
        <f t="shared" si="4"/>
        <v>0</v>
      </c>
      <c r="AH22" s="572">
        <f t="shared" si="5"/>
        <v>0</v>
      </c>
      <c r="AI22" s="572">
        <f t="shared" si="6"/>
        <v>0</v>
      </c>
      <c r="AJ22" s="829"/>
      <c r="AK22" s="585"/>
      <c r="AL22" s="582"/>
      <c r="AM22" s="582"/>
      <c r="AN22" s="287"/>
      <c r="AO22" s="287"/>
      <c r="AP22" s="572">
        <f t="shared" si="7"/>
        <v>0</v>
      </c>
      <c r="AQ22" s="585"/>
    </row>
    <row r="23" spans="1:43" ht="15" customHeight="1" x14ac:dyDescent="0.2">
      <c r="A23" s="260"/>
      <c r="B23" s="260"/>
      <c r="C23" s="354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6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6"/>
      <c r="Z23" s="622"/>
      <c r="AA23" s="623"/>
      <c r="AB23" s="623"/>
      <c r="AC23" s="624"/>
      <c r="AD23" s="582"/>
      <c r="AE23" s="287"/>
      <c r="AF23" s="287"/>
      <c r="AG23" s="572">
        <f t="shared" si="4"/>
        <v>0</v>
      </c>
      <c r="AH23" s="572">
        <f t="shared" si="5"/>
        <v>0</v>
      </c>
      <c r="AI23" s="572">
        <f t="shared" si="6"/>
        <v>0</v>
      </c>
      <c r="AJ23" s="829"/>
      <c r="AK23" s="585"/>
      <c r="AL23" s="582"/>
      <c r="AM23" s="582"/>
      <c r="AN23" s="287"/>
      <c r="AO23" s="287"/>
      <c r="AP23" s="572">
        <f t="shared" si="7"/>
        <v>0</v>
      </c>
      <c r="AQ23" s="585"/>
    </row>
    <row r="24" spans="1:43" ht="15.95" customHeight="1" thickBot="1" x14ac:dyDescent="0.25">
      <c r="A24" s="261" t="s">
        <v>161</v>
      </c>
      <c r="B24" s="261"/>
      <c r="C24" s="357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9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9"/>
      <c r="Z24" s="625"/>
      <c r="AA24" s="626"/>
      <c r="AB24" s="626"/>
      <c r="AC24" s="627"/>
      <c r="AD24" s="583"/>
      <c r="AE24" s="288"/>
      <c r="AF24" s="288"/>
      <c r="AG24" s="618">
        <f t="shared" si="4"/>
        <v>0</v>
      </c>
      <c r="AH24" s="618">
        <f t="shared" si="5"/>
        <v>0</v>
      </c>
      <c r="AI24" s="618">
        <f t="shared" si="6"/>
        <v>0</v>
      </c>
      <c r="AJ24" s="830"/>
      <c r="AK24" s="586"/>
      <c r="AL24" s="583"/>
      <c r="AM24" s="583"/>
      <c r="AN24" s="288"/>
      <c r="AO24" s="288"/>
      <c r="AP24" s="572">
        <f t="shared" si="7"/>
        <v>0</v>
      </c>
      <c r="AQ24" s="586"/>
    </row>
    <row r="25" spans="1:43" ht="12.75" thickBot="1" x14ac:dyDescent="0.25">
      <c r="A25" s="254" t="s">
        <v>162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616"/>
      <c r="AA25" s="616"/>
      <c r="AB25" s="616"/>
      <c r="AC25" s="616">
        <f t="shared" ref="AC25:AI25" si="8">SUM(AC19:AC24)</f>
        <v>0</v>
      </c>
      <c r="AD25" s="273">
        <f t="shared" si="8"/>
        <v>0</v>
      </c>
      <c r="AE25" s="273">
        <f t="shared" si="8"/>
        <v>0</v>
      </c>
      <c r="AF25" s="273">
        <f t="shared" si="8"/>
        <v>0</v>
      </c>
      <c r="AG25" s="278">
        <f t="shared" si="8"/>
        <v>0</v>
      </c>
      <c r="AH25" s="278">
        <f t="shared" si="8"/>
        <v>0</v>
      </c>
      <c r="AI25" s="278">
        <f t="shared" si="8"/>
        <v>0</v>
      </c>
      <c r="AJ25" s="339">
        <v>0</v>
      </c>
      <c r="AK25" s="338"/>
      <c r="AL25" s="273"/>
      <c r="AM25" s="273">
        <f>SUM(AM19:AM24)</f>
        <v>0</v>
      </c>
      <c r="AN25" s="273">
        <f>SUM(AN19:AN24)</f>
        <v>0</v>
      </c>
      <c r="AO25" s="273">
        <f>SUM(AO19:AO24)</f>
        <v>0</v>
      </c>
      <c r="AP25" s="278">
        <f>SUM(AP19:AP24)</f>
        <v>0</v>
      </c>
      <c r="AQ25" s="278"/>
    </row>
    <row r="26" spans="1:43" x14ac:dyDescent="0.2">
      <c r="AH26" s="158"/>
      <c r="AI26" s="158"/>
      <c r="AJ26" s="158"/>
    </row>
    <row r="28" spans="1:43" ht="15.75" x14ac:dyDescent="0.25">
      <c r="AG28" s="159"/>
    </row>
  </sheetData>
  <mergeCells count="8">
    <mergeCell ref="AL2:AQ2"/>
    <mergeCell ref="AJ4:AJ24"/>
    <mergeCell ref="AQ4:AQ5"/>
    <mergeCell ref="A1:Y1"/>
    <mergeCell ref="AD1:AK1"/>
    <mergeCell ref="Z2:AK2"/>
    <mergeCell ref="Z3:AC3"/>
    <mergeCell ref="AD3:AK3"/>
  </mergeCells>
  <conditionalFormatting sqref="C19:AC24">
    <cfRule type="colorScale" priority="4">
      <colorScale>
        <cfvo type="num" val="0"/>
        <cfvo type="num" val="1"/>
        <color theme="0"/>
        <color theme="2" tint="-0.249977111117893"/>
      </colorScale>
    </cfRule>
  </conditionalFormatting>
  <conditionalFormatting sqref="C15:AC18">
    <cfRule type="colorScale" priority="3">
      <colorScale>
        <cfvo type="num" val="0"/>
        <cfvo type="num" val="1"/>
        <color theme="0"/>
        <color theme="2" tint="-0.249977111117893"/>
      </colorScale>
    </cfRule>
  </conditionalFormatting>
  <conditionalFormatting sqref="C10:AC14">
    <cfRule type="colorScale" priority="2">
      <colorScale>
        <cfvo type="num" val="0"/>
        <cfvo type="num" val="1"/>
        <color theme="0"/>
        <color theme="2" tint="-0.249977111117893"/>
      </colorScale>
    </cfRule>
  </conditionalFormatting>
  <conditionalFormatting sqref="C6:AC9">
    <cfRule type="colorScale" priority="1">
      <colorScale>
        <cfvo type="num" val="0"/>
        <cfvo type="num" val="1"/>
        <color theme="0"/>
        <color theme="2" tint="-0.249977111117893"/>
      </colorScale>
    </cfRule>
  </conditionalFormatting>
  <pageMargins left="0.7" right="0.7" top="0.75" bottom="0.75" header="0.3" footer="0.3"/>
  <pageSetup paperSize="9" scale="1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D14"/>
  <sheetViews>
    <sheetView view="pageBreakPreview" zoomScaleNormal="80" zoomScaleSheetLayoutView="100" workbookViewId="0">
      <selection activeCell="D8" sqref="D8:D9"/>
    </sheetView>
  </sheetViews>
  <sheetFormatPr defaultColWidth="8.85546875" defaultRowHeight="15" x14ac:dyDescent="0.25"/>
  <cols>
    <col min="1" max="1" width="32.28515625" style="4" customWidth="1"/>
    <col min="2" max="2" width="66.7109375" style="4" customWidth="1"/>
    <col min="3" max="3" width="14.28515625" style="6" customWidth="1"/>
    <col min="4" max="4" width="23.42578125" style="4" customWidth="1"/>
    <col min="5" max="5" width="8.85546875" style="4" customWidth="1"/>
    <col min="6" max="16384" width="8.85546875" style="4"/>
  </cols>
  <sheetData>
    <row r="1" spans="1:4" ht="18" thickTop="1" thickBot="1" x14ac:dyDescent="0.3">
      <c r="A1" s="1" t="s">
        <v>0</v>
      </c>
      <c r="B1" s="2" t="s">
        <v>1</v>
      </c>
      <c r="C1" s="5" t="s">
        <v>10</v>
      </c>
      <c r="D1" s="3" t="s">
        <v>2</v>
      </c>
    </row>
    <row r="2" spans="1:4" ht="147" customHeight="1" thickTop="1" thickBot="1" x14ac:dyDescent="0.3">
      <c r="A2" s="522" t="s">
        <v>3</v>
      </c>
      <c r="B2" s="523" t="s">
        <v>4</v>
      </c>
      <c r="C2" s="524" t="s">
        <v>11</v>
      </c>
      <c r="D2" s="208">
        <v>10</v>
      </c>
    </row>
    <row r="3" spans="1:4" ht="41.45" customHeight="1" x14ac:dyDescent="0.25">
      <c r="A3" s="845" t="s">
        <v>5</v>
      </c>
      <c r="B3" s="856" t="s">
        <v>14</v>
      </c>
      <c r="C3" s="858" t="s">
        <v>12</v>
      </c>
      <c r="D3" s="847">
        <v>0.04</v>
      </c>
    </row>
    <row r="4" spans="1:4" ht="63" customHeight="1" thickBot="1" x14ac:dyDescent="0.3">
      <c r="A4" s="846"/>
      <c r="B4" s="857"/>
      <c r="C4" s="859"/>
      <c r="D4" s="848"/>
    </row>
    <row r="5" spans="1:4" ht="49.5" x14ac:dyDescent="0.25">
      <c r="A5" s="845" t="s">
        <v>6</v>
      </c>
      <c r="B5" s="525" t="s">
        <v>7</v>
      </c>
      <c r="C5" s="858" t="s">
        <v>12</v>
      </c>
      <c r="D5" s="849">
        <v>0.05</v>
      </c>
    </row>
    <row r="6" spans="1:4" ht="50.25" thickBot="1" x14ac:dyDescent="0.3">
      <c r="A6" s="846"/>
      <c r="B6" s="523" t="s">
        <v>8</v>
      </c>
      <c r="C6" s="859"/>
      <c r="D6" s="850"/>
    </row>
    <row r="7" spans="1:4" ht="33.75" thickBot="1" x14ac:dyDescent="0.3">
      <c r="A7" s="526" t="s">
        <v>184</v>
      </c>
      <c r="B7" s="527" t="s">
        <v>324</v>
      </c>
      <c r="C7" s="528" t="s">
        <v>13</v>
      </c>
      <c r="D7" s="207">
        <v>1373</v>
      </c>
    </row>
    <row r="8" spans="1:4" ht="15" customHeight="1" x14ac:dyDescent="0.25">
      <c r="A8" s="851" t="s">
        <v>9</v>
      </c>
      <c r="B8" s="841" t="s">
        <v>329</v>
      </c>
      <c r="C8" s="860" t="s">
        <v>15</v>
      </c>
      <c r="D8" s="853">
        <f>$D$7*1.352/(D12/12)</f>
        <v>11.3795923371648</v>
      </c>
    </row>
    <row r="9" spans="1:4" ht="57" customHeight="1" thickBot="1" x14ac:dyDescent="0.3">
      <c r="A9" s="852"/>
      <c r="B9" s="855"/>
      <c r="C9" s="861"/>
      <c r="D9" s="854"/>
    </row>
    <row r="10" spans="1:4" x14ac:dyDescent="0.25">
      <c r="A10" s="839" t="s">
        <v>185</v>
      </c>
      <c r="B10" s="841" t="s">
        <v>325</v>
      </c>
      <c r="C10" s="837" t="s">
        <v>15</v>
      </c>
      <c r="D10" s="843">
        <v>5.55</v>
      </c>
    </row>
    <row r="11" spans="1:4" ht="20.25" customHeight="1" thickBot="1" x14ac:dyDescent="0.3">
      <c r="A11" s="840"/>
      <c r="B11" s="842"/>
      <c r="C11" s="838"/>
      <c r="D11" s="844"/>
    </row>
    <row r="12" spans="1:4" ht="72" customHeight="1" thickBot="1" x14ac:dyDescent="0.3">
      <c r="A12" s="529" t="s">
        <v>326</v>
      </c>
      <c r="B12" s="527" t="s">
        <v>331</v>
      </c>
      <c r="C12" s="530" t="s">
        <v>327</v>
      </c>
      <c r="D12" s="532">
        <v>1957.5</v>
      </c>
    </row>
    <row r="13" spans="1:4" ht="72" customHeight="1" thickBot="1" x14ac:dyDescent="0.3">
      <c r="A13" s="529" t="s">
        <v>328</v>
      </c>
      <c r="B13" s="527" t="s">
        <v>330</v>
      </c>
      <c r="C13" s="530" t="s">
        <v>327</v>
      </c>
      <c r="D13" s="531">
        <v>2088</v>
      </c>
    </row>
    <row r="14" spans="1:4" ht="21" customHeight="1" thickBot="1" x14ac:dyDescent="0.3">
      <c r="A14" s="529" t="s">
        <v>25</v>
      </c>
      <c r="B14" s="529" t="s">
        <v>115</v>
      </c>
      <c r="C14" s="530" t="s">
        <v>11</v>
      </c>
      <c r="D14" s="108">
        <v>2019</v>
      </c>
    </row>
  </sheetData>
  <mergeCells count="15">
    <mergeCell ref="C10:C11"/>
    <mergeCell ref="A10:A11"/>
    <mergeCell ref="B10:B11"/>
    <mergeCell ref="D10:D11"/>
    <mergeCell ref="A3:A4"/>
    <mergeCell ref="D3:D4"/>
    <mergeCell ref="A5:A6"/>
    <mergeCell ref="D5:D6"/>
    <mergeCell ref="A8:A9"/>
    <mergeCell ref="D8:D9"/>
    <mergeCell ref="B8:B9"/>
    <mergeCell ref="B3:B4"/>
    <mergeCell ref="C3:C4"/>
    <mergeCell ref="C8:C9"/>
    <mergeCell ref="C5:C6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115" zoomScaleNormal="100" zoomScaleSheetLayoutView="115" workbookViewId="0"/>
  </sheetViews>
  <sheetFormatPr defaultColWidth="8.85546875" defaultRowHeight="15" x14ac:dyDescent="0.25"/>
  <cols>
    <col min="1" max="1" width="25.42578125" customWidth="1"/>
    <col min="2" max="2" width="79" bestFit="1" customWidth="1"/>
    <col min="3" max="3" width="70" bestFit="1" customWidth="1"/>
  </cols>
  <sheetData>
    <row r="1" spans="1:3" ht="19.5" thickBot="1" x14ac:dyDescent="0.35">
      <c r="A1" s="337" t="s">
        <v>268</v>
      </c>
    </row>
    <row r="2" spans="1:3" ht="15.75" thickBot="1" x14ac:dyDescent="0.3">
      <c r="A2" s="345" t="s">
        <v>290</v>
      </c>
      <c r="B2" s="346" t="s">
        <v>291</v>
      </c>
      <c r="C2" s="347" t="s">
        <v>296</v>
      </c>
    </row>
    <row r="3" spans="1:3" x14ac:dyDescent="0.25">
      <c r="A3" s="361" t="s">
        <v>269</v>
      </c>
      <c r="B3" s="348" t="s">
        <v>293</v>
      </c>
      <c r="C3" s="258" t="s">
        <v>292</v>
      </c>
    </row>
    <row r="4" spans="1:3" x14ac:dyDescent="0.25">
      <c r="A4" s="362" t="s">
        <v>270</v>
      </c>
      <c r="B4" s="349" t="s">
        <v>294</v>
      </c>
      <c r="C4" s="350" t="s">
        <v>295</v>
      </c>
    </row>
    <row r="5" spans="1:3" x14ac:dyDescent="0.25">
      <c r="A5" s="362" t="s">
        <v>271</v>
      </c>
      <c r="B5" s="349" t="s">
        <v>297</v>
      </c>
      <c r="C5" s="350" t="s">
        <v>295</v>
      </c>
    </row>
    <row r="6" spans="1:3" x14ac:dyDescent="0.25">
      <c r="A6" s="362" t="s">
        <v>214</v>
      </c>
      <c r="B6" s="349" t="s">
        <v>298</v>
      </c>
      <c r="C6" s="256" t="s">
        <v>300</v>
      </c>
    </row>
    <row r="7" spans="1:3" x14ac:dyDescent="0.25">
      <c r="A7" s="362" t="s">
        <v>272</v>
      </c>
      <c r="B7" s="349" t="s">
        <v>299</v>
      </c>
      <c r="C7" s="350" t="s">
        <v>295</v>
      </c>
    </row>
    <row r="8" spans="1:3" x14ac:dyDescent="0.25">
      <c r="A8" s="362" t="s">
        <v>273</v>
      </c>
      <c r="B8" s="349" t="s">
        <v>301</v>
      </c>
      <c r="C8" s="256" t="s">
        <v>302</v>
      </c>
    </row>
    <row r="9" spans="1:3" x14ac:dyDescent="0.25">
      <c r="A9" s="362" t="s">
        <v>274</v>
      </c>
      <c r="B9" s="349" t="s">
        <v>303</v>
      </c>
      <c r="C9" s="350" t="s">
        <v>295</v>
      </c>
    </row>
    <row r="10" spans="1:3" x14ac:dyDescent="0.25">
      <c r="A10" s="362" t="s">
        <v>275</v>
      </c>
      <c r="B10" s="349" t="s">
        <v>304</v>
      </c>
      <c r="C10" s="256" t="s">
        <v>302</v>
      </c>
    </row>
    <row r="11" spans="1:3" x14ac:dyDescent="0.25">
      <c r="A11" s="362" t="s">
        <v>276</v>
      </c>
      <c r="B11" s="349" t="s">
        <v>305</v>
      </c>
      <c r="C11" s="256" t="s">
        <v>302</v>
      </c>
    </row>
    <row r="12" spans="1:3" x14ac:dyDescent="0.25">
      <c r="A12" s="362" t="s">
        <v>277</v>
      </c>
      <c r="B12" s="349" t="s">
        <v>306</v>
      </c>
      <c r="C12" s="256" t="s">
        <v>302</v>
      </c>
    </row>
    <row r="13" spans="1:3" x14ac:dyDescent="0.25">
      <c r="A13" s="362" t="s">
        <v>278</v>
      </c>
      <c r="B13" s="349" t="s">
        <v>307</v>
      </c>
      <c r="C13" s="256" t="s">
        <v>302</v>
      </c>
    </row>
    <row r="14" spans="1:3" x14ac:dyDescent="0.25">
      <c r="A14" s="362" t="s">
        <v>279</v>
      </c>
      <c r="B14" s="349" t="s">
        <v>340</v>
      </c>
      <c r="C14" s="256" t="s">
        <v>308</v>
      </c>
    </row>
    <row r="15" spans="1:3" x14ac:dyDescent="0.25">
      <c r="A15" s="362" t="s">
        <v>339</v>
      </c>
      <c r="B15" s="349" t="s">
        <v>341</v>
      </c>
      <c r="C15" s="256" t="s">
        <v>302</v>
      </c>
    </row>
    <row r="16" spans="1:3" x14ac:dyDescent="0.25">
      <c r="A16" s="362" t="s">
        <v>284</v>
      </c>
      <c r="B16" s="349" t="s">
        <v>309</v>
      </c>
      <c r="C16" s="256" t="s">
        <v>310</v>
      </c>
    </row>
    <row r="17" spans="1:3" x14ac:dyDescent="0.25">
      <c r="A17" s="362" t="s">
        <v>285</v>
      </c>
      <c r="B17" s="349" t="s">
        <v>311</v>
      </c>
      <c r="C17" s="256" t="s">
        <v>312</v>
      </c>
    </row>
    <row r="18" spans="1:3" ht="30" x14ac:dyDescent="0.25">
      <c r="A18" s="362" t="s">
        <v>286</v>
      </c>
      <c r="B18" s="360" t="s">
        <v>313</v>
      </c>
      <c r="C18" s="363" t="s">
        <v>314</v>
      </c>
    </row>
    <row r="19" spans="1:3" x14ac:dyDescent="0.25">
      <c r="A19" s="362" t="s">
        <v>287</v>
      </c>
      <c r="B19" s="349" t="s">
        <v>315</v>
      </c>
      <c r="C19" s="256" t="s">
        <v>316</v>
      </c>
    </row>
    <row r="20" spans="1:3" x14ac:dyDescent="0.25">
      <c r="A20" s="362" t="s">
        <v>288</v>
      </c>
      <c r="B20" s="349" t="s">
        <v>317</v>
      </c>
      <c r="C20" s="256" t="s">
        <v>319</v>
      </c>
    </row>
    <row r="21" spans="1:3" x14ac:dyDescent="0.25">
      <c r="A21" s="362" t="s">
        <v>289</v>
      </c>
      <c r="B21" s="349" t="s">
        <v>318</v>
      </c>
      <c r="C21" s="256" t="s">
        <v>319</v>
      </c>
    </row>
  </sheetData>
  <sheetProtection password="C3D8" sheet="1" objects="1" scenarios="1"/>
  <hyperlinks>
    <hyperlink ref="A3" location="Sumarizácia!R1C1" display="Sumarizácia"/>
    <hyperlink ref="A4" location="'CBA - Agendové IS'!R1C1" display="CBA"/>
    <hyperlink ref="A5" location="'Analyza citlivosti - AgendovéIS'!R1C1" display="Analyza citlivosti"/>
    <hyperlink ref="A6" location="'Prínosy - Agendové IS'!R1C1" display="Prínosy"/>
    <hyperlink ref="A7" location="'Výdavky - Agendové IS'!R1C1" display="Výdavky"/>
    <hyperlink ref="A8" location="'Parametre - Agendové IS'!R1C1" display="Parametre"/>
    <hyperlink ref="A9" location="TCO!R1C1" display="TCO"/>
    <hyperlink ref="A10" location="'TCO Alt. 1 - SW'!R1C1" display="TCO Alt. 1 - SW"/>
    <hyperlink ref="A11" location="'TCO Alt. 1 - HW'!R1C1" display="TCO Alt. 1 - HW"/>
    <hyperlink ref="A12" location="'TCO Alt. 2 - SW'!R1C1" display="TCO Alt. 2 - SW"/>
    <hyperlink ref="A13" location="'TCO Alt. 2 - HW'!R1C1" display="TCO Alt. 2 - HW"/>
    <hyperlink ref="A14" location="'Rozpočet - vývoj Aplikácií'!R1C1" display="Rozpočet - vývoj aplikácii"/>
    <hyperlink ref="A16" location="'Slepý rozpočet'!R1C1" display="Slepý rozpočet"/>
    <hyperlink ref="A17" location="Faktory!R1C1" display="Faktory"/>
    <hyperlink ref="A18" location="'Meranie prínosov'!R1C1" display="Meranie prínosov"/>
    <hyperlink ref="A19" location="'Procesné mapy'!R1C1" display="Procesné mapy"/>
    <hyperlink ref="A20" location="'Procesy - AS IS'!R1C1" display="Procesy AS IS"/>
    <hyperlink ref="A21" location="'Procesy - TO BE'!R1C1" display="Procesy TO BE"/>
    <hyperlink ref="A15" location="'Rozpočet - HW a licencie'!R1C1" display="Rozpočet - HW a licencie"/>
  </hyperlinks>
  <pageMargins left="0.7" right="0.7" top="0.75" bottom="0.75" header="0.3" footer="0.3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3"/>
  <sheetViews>
    <sheetView view="pageBreakPreview" zoomScale="60" zoomScaleNormal="60" workbookViewId="0">
      <selection activeCell="Z39" sqref="Z39"/>
    </sheetView>
  </sheetViews>
  <sheetFormatPr defaultColWidth="8.85546875" defaultRowHeight="15" x14ac:dyDescent="0.25"/>
  <sheetData>
    <row r="1" spans="1:20" x14ac:dyDescent="0.25"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0" x14ac:dyDescent="0.25"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3" spans="1:20" x14ac:dyDescent="0.25">
      <c r="A3" s="303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4"/>
    </row>
  </sheetData>
  <pageMargins left="0.7" right="0.7" top="0.75" bottom="0.75" header="0.3" footer="0.3"/>
  <pageSetup paperSize="9" scale="33" orientation="portrait" r:id="rId1"/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C70"/>
  <sheetViews>
    <sheetView view="pageBreakPreview" topLeftCell="A28" zoomScale="60" zoomScaleNormal="80" workbookViewId="0">
      <selection activeCell="C39" sqref="C39"/>
    </sheetView>
  </sheetViews>
  <sheetFormatPr defaultColWidth="8.85546875" defaultRowHeight="15" x14ac:dyDescent="0.25"/>
  <cols>
    <col min="1" max="1" width="21.42578125" customWidth="1"/>
    <col min="2" max="2" width="14.42578125" customWidth="1"/>
    <col min="3" max="3" width="14.28515625" style="302" customWidth="1"/>
    <col min="4" max="4" width="14.140625" style="302" customWidth="1"/>
    <col min="5" max="5" width="14.85546875" style="302" customWidth="1"/>
    <col min="6" max="6" width="11.85546875" style="302" customWidth="1"/>
    <col min="7" max="7" width="15.85546875" style="302" customWidth="1"/>
    <col min="8" max="8" width="13.42578125" style="302" customWidth="1"/>
    <col min="9" max="9" width="10" style="302" customWidth="1"/>
    <col min="10" max="28" width="8.42578125" style="302" customWidth="1"/>
  </cols>
  <sheetData>
    <row r="1" spans="1:29" ht="15.75" thickBot="1" x14ac:dyDescent="0.3"/>
    <row r="2" spans="1:29" ht="48.75" customHeight="1" thickBot="1" x14ac:dyDescent="0.3">
      <c r="A2" s="305" t="s">
        <v>228</v>
      </c>
      <c r="B2" s="325" t="s">
        <v>229</v>
      </c>
      <c r="C2" s="323" t="s">
        <v>230</v>
      </c>
      <c r="D2" s="306" t="s">
        <v>231</v>
      </c>
      <c r="E2" s="306" t="s">
        <v>232</v>
      </c>
      <c r="F2" s="330" t="s">
        <v>223</v>
      </c>
      <c r="G2" s="325" t="s">
        <v>233</v>
      </c>
      <c r="H2" s="334" t="s">
        <v>230</v>
      </c>
      <c r="I2" s="307" t="s">
        <v>223</v>
      </c>
      <c r="O2" s="308"/>
      <c r="P2" s="309"/>
      <c r="Q2" s="309"/>
      <c r="R2" s="310"/>
      <c r="S2" s="310"/>
      <c r="T2" s="310"/>
      <c r="U2" s="310"/>
      <c r="V2" s="310"/>
      <c r="W2" s="310"/>
      <c r="X2" s="310"/>
      <c r="Y2" s="309"/>
      <c r="Z2" s="309"/>
      <c r="AA2" s="310"/>
      <c r="AB2" s="310"/>
      <c r="AC2" s="310"/>
    </row>
    <row r="3" spans="1:29" x14ac:dyDescent="0.25">
      <c r="A3" s="311" t="s">
        <v>172</v>
      </c>
      <c r="B3" s="326"/>
      <c r="C3" s="324"/>
      <c r="D3" s="320"/>
      <c r="E3" s="320"/>
      <c r="F3" s="331"/>
      <c r="G3" s="335"/>
      <c r="H3" s="324"/>
      <c r="I3" s="320"/>
      <c r="O3" s="312"/>
      <c r="P3" s="313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</row>
    <row r="4" spans="1:29" x14ac:dyDescent="0.25">
      <c r="A4" s="315" t="s">
        <v>234</v>
      </c>
      <c r="B4" s="327" t="s">
        <v>235</v>
      </c>
      <c r="C4" s="322"/>
      <c r="D4" s="321"/>
      <c r="E4" s="321"/>
      <c r="F4" s="332"/>
      <c r="G4" s="328"/>
      <c r="H4" s="322"/>
      <c r="I4" s="321"/>
      <c r="O4" s="312"/>
      <c r="P4" s="316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</row>
    <row r="5" spans="1:29" ht="15.75" customHeight="1" x14ac:dyDescent="0.25">
      <c r="A5" s="317" t="s">
        <v>236</v>
      </c>
      <c r="B5" s="328"/>
      <c r="C5" s="322"/>
      <c r="D5" s="321"/>
      <c r="E5" s="321"/>
      <c r="F5" s="332"/>
      <c r="G5" s="328"/>
      <c r="H5" s="322"/>
      <c r="I5" s="321"/>
      <c r="O5" s="312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</row>
    <row r="6" spans="1:29" x14ac:dyDescent="0.25">
      <c r="A6" s="317" t="s">
        <v>237</v>
      </c>
      <c r="B6" s="328"/>
      <c r="C6" s="322"/>
      <c r="D6" s="321"/>
      <c r="E6" s="321"/>
      <c r="F6" s="332"/>
      <c r="G6" s="328"/>
      <c r="H6" s="322"/>
      <c r="I6" s="321"/>
      <c r="O6" s="312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</row>
    <row r="7" spans="1:29" x14ac:dyDescent="0.25">
      <c r="A7" s="317" t="s">
        <v>238</v>
      </c>
      <c r="B7" s="328"/>
      <c r="C7" s="322"/>
      <c r="D7" s="321"/>
      <c r="E7" s="321"/>
      <c r="F7" s="332"/>
      <c r="G7" s="328"/>
      <c r="H7" s="322"/>
      <c r="I7" s="321"/>
      <c r="O7" s="312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</row>
    <row r="8" spans="1:29" x14ac:dyDescent="0.25">
      <c r="A8" s="317" t="s">
        <v>239</v>
      </c>
      <c r="B8" s="328"/>
      <c r="C8" s="322"/>
      <c r="D8" s="321"/>
      <c r="E8" s="321"/>
      <c r="F8" s="332"/>
      <c r="G8" s="328"/>
      <c r="H8" s="322"/>
      <c r="I8" s="321"/>
      <c r="O8" s="312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</row>
    <row r="9" spans="1:29" x14ac:dyDescent="0.25">
      <c r="A9" s="317" t="s">
        <v>240</v>
      </c>
      <c r="B9" s="328"/>
      <c r="C9" s="322"/>
      <c r="D9" s="321"/>
      <c r="E9" s="321"/>
      <c r="F9" s="332"/>
      <c r="G9" s="328"/>
      <c r="H9" s="322"/>
      <c r="I9" s="321"/>
      <c r="O9" s="312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</row>
    <row r="10" spans="1:29" x14ac:dyDescent="0.25">
      <c r="A10" s="317" t="s">
        <v>241</v>
      </c>
      <c r="B10" s="328"/>
      <c r="C10" s="322"/>
      <c r="D10" s="321"/>
      <c r="E10" s="321"/>
      <c r="F10" s="332"/>
      <c r="G10" s="328"/>
      <c r="H10" s="322"/>
      <c r="I10" s="321"/>
      <c r="O10" s="312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</row>
    <row r="11" spans="1:29" x14ac:dyDescent="0.25">
      <c r="A11" s="317" t="s">
        <v>242</v>
      </c>
      <c r="B11" s="328"/>
      <c r="C11" s="322"/>
      <c r="D11" s="321"/>
      <c r="E11" s="321"/>
      <c r="F11" s="332"/>
      <c r="G11" s="328"/>
      <c r="H11" s="322"/>
      <c r="I11" s="321"/>
      <c r="O11" s="312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</row>
    <row r="12" spans="1:29" x14ac:dyDescent="0.25">
      <c r="A12" s="317" t="s">
        <v>243</v>
      </c>
      <c r="B12" s="328"/>
      <c r="C12" s="322"/>
      <c r="D12" s="321"/>
      <c r="E12" s="321"/>
      <c r="F12" s="332"/>
      <c r="G12" s="328"/>
      <c r="H12" s="322"/>
      <c r="I12" s="321"/>
      <c r="O12" s="312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</row>
    <row r="13" spans="1:29" x14ac:dyDescent="0.25">
      <c r="A13" s="317" t="s">
        <v>244</v>
      </c>
      <c r="B13" s="328"/>
      <c r="C13" s="322"/>
      <c r="D13" s="321"/>
      <c r="E13" s="321"/>
      <c r="F13" s="332"/>
      <c r="G13" s="328"/>
      <c r="H13" s="322"/>
      <c r="I13" s="321"/>
      <c r="O13" s="312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</row>
    <row r="14" spans="1:29" x14ac:dyDescent="0.25">
      <c r="A14" s="317" t="s">
        <v>245</v>
      </c>
      <c r="B14" s="328"/>
      <c r="C14" s="322"/>
      <c r="D14" s="321"/>
      <c r="E14" s="321"/>
      <c r="F14" s="332"/>
      <c r="G14" s="328"/>
      <c r="H14" s="322"/>
      <c r="I14" s="321"/>
      <c r="O14" s="312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</row>
    <row r="15" spans="1:29" x14ac:dyDescent="0.25">
      <c r="A15" s="317" t="s">
        <v>246</v>
      </c>
      <c r="B15" s="328"/>
      <c r="C15" s="322"/>
      <c r="D15" s="321"/>
      <c r="E15" s="321"/>
      <c r="F15" s="332"/>
      <c r="G15" s="328"/>
      <c r="H15" s="322"/>
      <c r="I15" s="321"/>
      <c r="O15" s="312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</row>
    <row r="16" spans="1:29" x14ac:dyDescent="0.25">
      <c r="A16" s="317" t="s">
        <v>247</v>
      </c>
      <c r="B16" s="328"/>
      <c r="C16" s="322"/>
      <c r="D16" s="321"/>
      <c r="E16" s="321"/>
      <c r="F16" s="332"/>
      <c r="G16" s="328"/>
      <c r="H16" s="322"/>
      <c r="I16" s="321"/>
      <c r="O16" s="312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</row>
    <row r="17" spans="1:29" x14ac:dyDescent="0.25">
      <c r="A17" s="317" t="s">
        <v>248</v>
      </c>
      <c r="B17" s="328"/>
      <c r="C17" s="322"/>
      <c r="D17" s="321"/>
      <c r="E17" s="321"/>
      <c r="F17" s="332"/>
      <c r="G17" s="328"/>
      <c r="H17" s="322"/>
      <c r="I17" s="321"/>
      <c r="O17" s="312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</row>
    <row r="18" spans="1:29" x14ac:dyDescent="0.25">
      <c r="A18" s="317" t="s">
        <v>249</v>
      </c>
      <c r="B18" s="328"/>
      <c r="C18" s="322"/>
      <c r="D18" s="321"/>
      <c r="E18" s="321"/>
      <c r="F18" s="332"/>
      <c r="G18" s="328"/>
      <c r="H18" s="322"/>
      <c r="I18" s="321"/>
      <c r="O18" s="312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</row>
    <row r="19" spans="1:29" x14ac:dyDescent="0.25">
      <c r="A19" s="317" t="s">
        <v>250</v>
      </c>
      <c r="B19" s="328"/>
      <c r="C19" s="322"/>
      <c r="D19" s="321"/>
      <c r="E19" s="321"/>
      <c r="F19" s="332"/>
      <c r="G19" s="328"/>
      <c r="H19" s="322"/>
      <c r="I19" s="321"/>
      <c r="O19" s="312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</row>
    <row r="20" spans="1:29" x14ac:dyDescent="0.25">
      <c r="A20" s="317" t="s">
        <v>251</v>
      </c>
      <c r="B20" s="328"/>
      <c r="C20" s="322"/>
      <c r="D20" s="321"/>
      <c r="E20" s="321"/>
      <c r="F20" s="332"/>
      <c r="G20" s="328"/>
      <c r="H20" s="322"/>
      <c r="I20" s="321"/>
      <c r="O20" s="312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</row>
    <row r="21" spans="1:29" x14ac:dyDescent="0.25">
      <c r="A21" s="317" t="s">
        <v>252</v>
      </c>
      <c r="B21" s="328"/>
      <c r="C21" s="322"/>
      <c r="D21" s="321"/>
      <c r="E21" s="321"/>
      <c r="F21" s="332"/>
      <c r="G21" s="328"/>
      <c r="H21" s="322"/>
      <c r="I21" s="321"/>
      <c r="O21" s="312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</row>
    <row r="22" spans="1:29" x14ac:dyDescent="0.25">
      <c r="A22" s="317" t="s">
        <v>253</v>
      </c>
      <c r="B22" s="328"/>
      <c r="C22" s="322"/>
      <c r="D22" s="321"/>
      <c r="E22" s="321"/>
      <c r="F22" s="332"/>
      <c r="G22" s="328"/>
      <c r="H22" s="322"/>
      <c r="I22" s="321"/>
      <c r="O22" s="312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</row>
    <row r="23" spans="1:29" x14ac:dyDescent="0.25">
      <c r="A23" s="317" t="s">
        <v>254</v>
      </c>
      <c r="B23" s="328"/>
      <c r="C23" s="322"/>
      <c r="D23" s="321"/>
      <c r="E23" s="321"/>
      <c r="F23" s="332"/>
      <c r="G23" s="328"/>
      <c r="H23" s="322"/>
      <c r="I23" s="321"/>
      <c r="O23" s="312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</row>
    <row r="24" spans="1:29" x14ac:dyDescent="0.25">
      <c r="A24" s="317" t="s">
        <v>255</v>
      </c>
      <c r="B24" s="328"/>
      <c r="C24" s="322"/>
      <c r="D24" s="321"/>
      <c r="E24" s="321"/>
      <c r="F24" s="332"/>
      <c r="G24" s="328"/>
      <c r="H24" s="322"/>
      <c r="I24" s="321"/>
      <c r="O24" s="312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</row>
    <row r="25" spans="1:29" x14ac:dyDescent="0.25">
      <c r="A25" s="317" t="s">
        <v>256</v>
      </c>
      <c r="B25" s="328"/>
      <c r="C25" s="322"/>
      <c r="D25" s="321"/>
      <c r="E25" s="321"/>
      <c r="F25" s="332"/>
      <c r="G25" s="328"/>
      <c r="H25" s="322"/>
      <c r="I25" s="321"/>
      <c r="O25" s="312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</row>
    <row r="26" spans="1:29" x14ac:dyDescent="0.25">
      <c r="A26" s="317" t="s">
        <v>257</v>
      </c>
      <c r="B26" s="328"/>
      <c r="C26" s="322"/>
      <c r="D26" s="321"/>
      <c r="E26" s="321"/>
      <c r="F26" s="332"/>
      <c r="G26" s="328"/>
      <c r="H26" s="322"/>
      <c r="I26" s="321"/>
      <c r="O26" s="312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</row>
    <row r="27" spans="1:29" x14ac:dyDescent="0.25">
      <c r="A27" s="317" t="s">
        <v>258</v>
      </c>
      <c r="B27" s="328"/>
      <c r="C27" s="322"/>
      <c r="D27" s="321"/>
      <c r="E27" s="321"/>
      <c r="F27" s="332"/>
      <c r="G27" s="328"/>
      <c r="H27" s="322"/>
      <c r="I27" s="321"/>
      <c r="O27" s="312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</row>
    <row r="28" spans="1:29" x14ac:dyDescent="0.25">
      <c r="A28" s="317" t="s">
        <v>259</v>
      </c>
      <c r="B28" s="328"/>
      <c r="C28" s="322"/>
      <c r="D28" s="321"/>
      <c r="E28" s="321"/>
      <c r="F28" s="332"/>
      <c r="G28" s="328"/>
      <c r="H28" s="322"/>
      <c r="I28" s="321"/>
      <c r="O28" s="312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</row>
    <row r="29" spans="1:29" x14ac:dyDescent="0.25">
      <c r="A29" s="317" t="s">
        <v>260</v>
      </c>
      <c r="B29" s="328"/>
      <c r="C29" s="322"/>
      <c r="D29" s="321"/>
      <c r="E29" s="321"/>
      <c r="F29" s="332"/>
      <c r="G29" s="328"/>
      <c r="H29" s="322"/>
      <c r="I29" s="321"/>
      <c r="O29" s="312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</row>
    <row r="30" spans="1:29" x14ac:dyDescent="0.25">
      <c r="A30" s="317" t="s">
        <v>261</v>
      </c>
      <c r="B30" s="328"/>
      <c r="C30" s="322"/>
      <c r="D30" s="321"/>
      <c r="E30" s="321"/>
      <c r="F30" s="332"/>
      <c r="G30" s="328"/>
      <c r="H30" s="322"/>
      <c r="I30" s="321"/>
      <c r="O30" s="312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</row>
    <row r="31" spans="1:29" x14ac:dyDescent="0.25">
      <c r="A31" s="317" t="s">
        <v>262</v>
      </c>
      <c r="B31" s="328"/>
      <c r="C31" s="322"/>
      <c r="D31" s="321"/>
      <c r="E31" s="321"/>
      <c r="F31" s="332"/>
      <c r="G31" s="328"/>
      <c r="H31" s="322"/>
      <c r="I31" s="321"/>
      <c r="O31" s="312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</row>
    <row r="32" spans="1:29" x14ac:dyDescent="0.25">
      <c r="A32" s="317" t="s">
        <v>263</v>
      </c>
      <c r="B32" s="328"/>
      <c r="C32" s="322"/>
      <c r="D32" s="321"/>
      <c r="E32" s="321"/>
      <c r="F32" s="332"/>
      <c r="G32" s="328"/>
      <c r="H32" s="322"/>
      <c r="I32" s="321"/>
      <c r="O32" s="312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</row>
    <row r="33" spans="1:29" x14ac:dyDescent="0.25">
      <c r="A33" s="317" t="s">
        <v>264</v>
      </c>
      <c r="B33" s="328"/>
      <c r="C33" s="322"/>
      <c r="D33" s="321"/>
      <c r="E33" s="321"/>
      <c r="F33" s="332"/>
      <c r="G33" s="328"/>
      <c r="H33" s="322"/>
      <c r="I33" s="321"/>
      <c r="O33" s="312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</row>
    <row r="34" spans="1:29" ht="15.75" thickBot="1" x14ac:dyDescent="0.3">
      <c r="A34" s="318" t="s">
        <v>265</v>
      </c>
      <c r="B34" s="329"/>
      <c r="C34" s="319"/>
      <c r="D34" s="256"/>
      <c r="E34" s="256"/>
      <c r="F34" s="333"/>
      <c r="G34" s="329"/>
      <c r="H34" s="319"/>
      <c r="I34" s="256"/>
      <c r="O34" s="312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</row>
    <row r="37" spans="1:29" ht="15.75" thickBot="1" x14ac:dyDescent="0.3"/>
    <row r="38" spans="1:29" ht="45.75" thickBot="1" x14ac:dyDescent="0.3">
      <c r="A38" s="305" t="s">
        <v>266</v>
      </c>
      <c r="B38" s="325" t="s">
        <v>229</v>
      </c>
      <c r="C38" s="323" t="s">
        <v>230</v>
      </c>
      <c r="D38" s="306" t="s">
        <v>231</v>
      </c>
      <c r="E38" s="306" t="s">
        <v>232</v>
      </c>
      <c r="F38" s="330" t="s">
        <v>223</v>
      </c>
      <c r="G38" s="325" t="s">
        <v>233</v>
      </c>
      <c r="H38" s="334" t="s">
        <v>230</v>
      </c>
      <c r="I38" s="307" t="s">
        <v>223</v>
      </c>
    </row>
    <row r="39" spans="1:29" x14ac:dyDescent="0.25">
      <c r="A39" s="311" t="s">
        <v>172</v>
      </c>
      <c r="B39" s="326"/>
      <c r="C39" s="324"/>
      <c r="D39" s="320"/>
      <c r="E39" s="320"/>
      <c r="F39" s="331"/>
      <c r="G39" s="335"/>
      <c r="H39" s="324"/>
      <c r="I39" s="320"/>
    </row>
    <row r="40" spans="1:29" x14ac:dyDescent="0.25">
      <c r="A40" s="315" t="s">
        <v>234</v>
      </c>
      <c r="B40" s="327" t="s">
        <v>235</v>
      </c>
      <c r="C40" s="322"/>
      <c r="D40" s="321"/>
      <c r="E40" s="321"/>
      <c r="F40" s="332"/>
      <c r="G40" s="328"/>
      <c r="H40" s="322"/>
      <c r="I40" s="321"/>
    </row>
    <row r="41" spans="1:29" x14ac:dyDescent="0.25">
      <c r="A41" s="317" t="s">
        <v>236</v>
      </c>
      <c r="B41" s="328"/>
      <c r="C41" s="322"/>
      <c r="D41" s="321"/>
      <c r="E41" s="321"/>
      <c r="F41" s="332"/>
      <c r="G41" s="328"/>
      <c r="H41" s="322"/>
      <c r="I41" s="321"/>
    </row>
    <row r="42" spans="1:29" x14ac:dyDescent="0.25">
      <c r="A42" s="317" t="s">
        <v>237</v>
      </c>
      <c r="B42" s="328"/>
      <c r="C42" s="322"/>
      <c r="D42" s="321"/>
      <c r="E42" s="321"/>
      <c r="F42" s="332"/>
      <c r="G42" s="328"/>
      <c r="H42" s="322"/>
      <c r="I42" s="321"/>
    </row>
    <row r="43" spans="1:29" x14ac:dyDescent="0.25">
      <c r="A43" s="317" t="s">
        <v>238</v>
      </c>
      <c r="B43" s="328"/>
      <c r="C43" s="322"/>
      <c r="D43" s="321"/>
      <c r="E43" s="321"/>
      <c r="F43" s="332"/>
      <c r="G43" s="328"/>
      <c r="H43" s="322"/>
      <c r="I43" s="321"/>
    </row>
    <row r="44" spans="1:29" x14ac:dyDescent="0.25">
      <c r="A44" s="317" t="s">
        <v>239</v>
      </c>
      <c r="B44" s="328"/>
      <c r="C44" s="322"/>
      <c r="D44" s="321"/>
      <c r="E44" s="321"/>
      <c r="F44" s="332"/>
      <c r="G44" s="328"/>
      <c r="H44" s="322"/>
      <c r="I44" s="321"/>
    </row>
    <row r="45" spans="1:29" x14ac:dyDescent="0.25">
      <c r="A45" s="317" t="s">
        <v>240</v>
      </c>
      <c r="B45" s="328"/>
      <c r="C45" s="322"/>
      <c r="D45" s="321"/>
      <c r="E45" s="321"/>
      <c r="F45" s="332"/>
      <c r="G45" s="328"/>
      <c r="H45" s="322"/>
      <c r="I45" s="321"/>
    </row>
    <row r="46" spans="1:29" x14ac:dyDescent="0.25">
      <c r="A46" s="317" t="s">
        <v>241</v>
      </c>
      <c r="B46" s="328"/>
      <c r="C46" s="322"/>
      <c r="D46" s="321"/>
      <c r="E46" s="321"/>
      <c r="F46" s="332"/>
      <c r="G46" s="328"/>
      <c r="H46" s="322"/>
      <c r="I46" s="321"/>
    </row>
    <row r="47" spans="1:29" x14ac:dyDescent="0.25">
      <c r="A47" s="317" t="s">
        <v>242</v>
      </c>
      <c r="B47" s="328"/>
      <c r="C47" s="322"/>
      <c r="D47" s="321"/>
      <c r="E47" s="321"/>
      <c r="F47" s="332"/>
      <c r="G47" s="328"/>
      <c r="H47" s="322"/>
      <c r="I47" s="321"/>
    </row>
    <row r="48" spans="1:29" x14ac:dyDescent="0.25">
      <c r="A48" s="317" t="s">
        <v>243</v>
      </c>
      <c r="B48" s="328"/>
      <c r="C48" s="322"/>
      <c r="D48" s="321"/>
      <c r="E48" s="321"/>
      <c r="F48" s="332"/>
      <c r="G48" s="328"/>
      <c r="H48" s="322"/>
      <c r="I48" s="321"/>
    </row>
    <row r="49" spans="1:9" x14ac:dyDescent="0.25">
      <c r="A49" s="317" t="s">
        <v>244</v>
      </c>
      <c r="B49" s="328"/>
      <c r="C49" s="322"/>
      <c r="D49" s="321"/>
      <c r="E49" s="321"/>
      <c r="F49" s="332"/>
      <c r="G49" s="328"/>
      <c r="H49" s="322"/>
      <c r="I49" s="321"/>
    </row>
    <row r="50" spans="1:9" x14ac:dyDescent="0.25">
      <c r="A50" s="317" t="s">
        <v>245</v>
      </c>
      <c r="B50" s="328"/>
      <c r="C50" s="322"/>
      <c r="D50" s="321"/>
      <c r="E50" s="321"/>
      <c r="F50" s="332"/>
      <c r="G50" s="328"/>
      <c r="H50" s="322"/>
      <c r="I50" s="321"/>
    </row>
    <row r="51" spans="1:9" x14ac:dyDescent="0.25">
      <c r="A51" s="317" t="s">
        <v>246</v>
      </c>
      <c r="B51" s="328"/>
      <c r="C51" s="322"/>
      <c r="D51" s="321"/>
      <c r="E51" s="321"/>
      <c r="F51" s="332"/>
      <c r="G51" s="328"/>
      <c r="H51" s="322"/>
      <c r="I51" s="321"/>
    </row>
    <row r="52" spans="1:9" x14ac:dyDescent="0.25">
      <c r="A52" s="317" t="s">
        <v>247</v>
      </c>
      <c r="B52" s="328"/>
      <c r="C52" s="322"/>
      <c r="D52" s="321"/>
      <c r="E52" s="321"/>
      <c r="F52" s="332"/>
      <c r="G52" s="328"/>
      <c r="H52" s="322"/>
      <c r="I52" s="321"/>
    </row>
    <row r="53" spans="1:9" x14ac:dyDescent="0.25">
      <c r="A53" s="317" t="s">
        <v>248</v>
      </c>
      <c r="B53" s="328"/>
      <c r="C53" s="322"/>
      <c r="D53" s="321"/>
      <c r="E53" s="321"/>
      <c r="F53" s="332"/>
      <c r="G53" s="328"/>
      <c r="H53" s="322"/>
      <c r="I53" s="321"/>
    </row>
    <row r="54" spans="1:9" x14ac:dyDescent="0.25">
      <c r="A54" s="317" t="s">
        <v>249</v>
      </c>
      <c r="B54" s="328"/>
      <c r="C54" s="322"/>
      <c r="D54" s="321"/>
      <c r="E54" s="321"/>
      <c r="F54" s="332"/>
      <c r="G54" s="328"/>
      <c r="H54" s="322"/>
      <c r="I54" s="321"/>
    </row>
    <row r="55" spans="1:9" x14ac:dyDescent="0.25">
      <c r="A55" s="317" t="s">
        <v>250</v>
      </c>
      <c r="B55" s="328"/>
      <c r="C55" s="322"/>
      <c r="D55" s="321"/>
      <c r="E55" s="321"/>
      <c r="F55" s="332"/>
      <c r="G55" s="328"/>
      <c r="H55" s="322"/>
      <c r="I55" s="321"/>
    </row>
    <row r="56" spans="1:9" x14ac:dyDescent="0.25">
      <c r="A56" s="317" t="s">
        <v>251</v>
      </c>
      <c r="B56" s="328"/>
      <c r="C56" s="322"/>
      <c r="D56" s="321"/>
      <c r="E56" s="321"/>
      <c r="F56" s="332"/>
      <c r="G56" s="328"/>
      <c r="H56" s="322"/>
      <c r="I56" s="321"/>
    </row>
    <row r="57" spans="1:9" x14ac:dyDescent="0.25">
      <c r="A57" s="317" t="s">
        <v>252</v>
      </c>
      <c r="B57" s="328"/>
      <c r="C57" s="322"/>
      <c r="D57" s="321"/>
      <c r="E57" s="321"/>
      <c r="F57" s="332"/>
      <c r="G57" s="328"/>
      <c r="H57" s="322"/>
      <c r="I57" s="321"/>
    </row>
    <row r="58" spans="1:9" x14ac:dyDescent="0.25">
      <c r="A58" s="317" t="s">
        <v>253</v>
      </c>
      <c r="B58" s="328"/>
      <c r="C58" s="322"/>
      <c r="D58" s="321"/>
      <c r="E58" s="321"/>
      <c r="F58" s="332"/>
      <c r="G58" s="328"/>
      <c r="H58" s="322"/>
      <c r="I58" s="321"/>
    </row>
    <row r="59" spans="1:9" x14ac:dyDescent="0.25">
      <c r="A59" s="317" t="s">
        <v>254</v>
      </c>
      <c r="B59" s="328"/>
      <c r="C59" s="322"/>
      <c r="D59" s="321"/>
      <c r="E59" s="321"/>
      <c r="F59" s="332"/>
      <c r="G59" s="328"/>
      <c r="H59" s="322"/>
      <c r="I59" s="321"/>
    </row>
    <row r="60" spans="1:9" x14ac:dyDescent="0.25">
      <c r="A60" s="317" t="s">
        <v>255</v>
      </c>
      <c r="B60" s="328"/>
      <c r="C60" s="322"/>
      <c r="D60" s="321"/>
      <c r="E60" s="321"/>
      <c r="F60" s="332"/>
      <c r="G60" s="328"/>
      <c r="H60" s="322"/>
      <c r="I60" s="321"/>
    </row>
    <row r="61" spans="1:9" x14ac:dyDescent="0.25">
      <c r="A61" s="317" t="s">
        <v>256</v>
      </c>
      <c r="B61" s="328"/>
      <c r="C61" s="322"/>
      <c r="D61" s="321"/>
      <c r="E61" s="321"/>
      <c r="F61" s="332"/>
      <c r="G61" s="328"/>
      <c r="H61" s="322"/>
      <c r="I61" s="321"/>
    </row>
    <row r="62" spans="1:9" x14ac:dyDescent="0.25">
      <c r="A62" s="317" t="s">
        <v>257</v>
      </c>
      <c r="B62" s="328"/>
      <c r="C62" s="322"/>
      <c r="D62" s="321"/>
      <c r="E62" s="321"/>
      <c r="F62" s="332"/>
      <c r="G62" s="328"/>
      <c r="H62" s="322"/>
      <c r="I62" s="321"/>
    </row>
    <row r="63" spans="1:9" x14ac:dyDescent="0.25">
      <c r="A63" s="317" t="s">
        <v>258</v>
      </c>
      <c r="B63" s="328"/>
      <c r="C63" s="322"/>
      <c r="D63" s="321"/>
      <c r="E63" s="321"/>
      <c r="F63" s="332"/>
      <c r="G63" s="328"/>
      <c r="H63" s="322"/>
      <c r="I63" s="321"/>
    </row>
    <row r="64" spans="1:9" x14ac:dyDescent="0.25">
      <c r="A64" s="317" t="s">
        <v>259</v>
      </c>
      <c r="B64" s="328"/>
      <c r="C64" s="322"/>
      <c r="D64" s="321"/>
      <c r="E64" s="321"/>
      <c r="F64" s="332"/>
      <c r="G64" s="328"/>
      <c r="H64" s="322"/>
      <c r="I64" s="321"/>
    </row>
    <row r="65" spans="1:9" x14ac:dyDescent="0.25">
      <c r="A65" s="317" t="s">
        <v>260</v>
      </c>
      <c r="B65" s="328"/>
      <c r="C65" s="322"/>
      <c r="D65" s="321"/>
      <c r="E65" s="321"/>
      <c r="F65" s="332"/>
      <c r="G65" s="328"/>
      <c r="H65" s="322"/>
      <c r="I65" s="321"/>
    </row>
    <row r="66" spans="1:9" x14ac:dyDescent="0.25">
      <c r="A66" s="317" t="s">
        <v>261</v>
      </c>
      <c r="B66" s="328"/>
      <c r="C66" s="322"/>
      <c r="D66" s="321"/>
      <c r="E66" s="321"/>
      <c r="F66" s="332"/>
      <c r="G66" s="328"/>
      <c r="H66" s="322"/>
      <c r="I66" s="321"/>
    </row>
    <row r="67" spans="1:9" x14ac:dyDescent="0.25">
      <c r="A67" s="317" t="s">
        <v>262</v>
      </c>
      <c r="B67" s="328"/>
      <c r="C67" s="322"/>
      <c r="D67" s="321"/>
      <c r="E67" s="321"/>
      <c r="F67" s="332"/>
      <c r="G67" s="328"/>
      <c r="H67" s="322"/>
      <c r="I67" s="321"/>
    </row>
    <row r="68" spans="1:9" x14ac:dyDescent="0.25">
      <c r="A68" s="317" t="s">
        <v>263</v>
      </c>
      <c r="B68" s="328"/>
      <c r="C68" s="322"/>
      <c r="D68" s="321"/>
      <c r="E68" s="321"/>
      <c r="F68" s="332"/>
      <c r="G68" s="328"/>
      <c r="H68" s="322"/>
      <c r="I68" s="321"/>
    </row>
    <row r="69" spans="1:9" x14ac:dyDescent="0.25">
      <c r="A69" s="317" t="s">
        <v>264</v>
      </c>
      <c r="B69" s="328"/>
      <c r="C69" s="322"/>
      <c r="D69" s="321"/>
      <c r="E69" s="321"/>
      <c r="F69" s="332"/>
      <c r="G69" s="328"/>
      <c r="H69" s="322"/>
      <c r="I69" s="321"/>
    </row>
    <row r="70" spans="1:9" ht="15.75" thickBot="1" x14ac:dyDescent="0.3">
      <c r="A70" s="318" t="s">
        <v>265</v>
      </c>
      <c r="B70" s="329"/>
      <c r="C70" s="319"/>
      <c r="D70" s="256"/>
      <c r="E70" s="256"/>
      <c r="F70" s="333"/>
      <c r="G70" s="329"/>
      <c r="H70" s="319"/>
      <c r="I70" s="256"/>
    </row>
  </sheetData>
  <pageMargins left="0.7" right="0.7" top="0.75" bottom="0.75" header="0.3" footer="0.3"/>
  <pageSetup paperSize="9"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C70"/>
  <sheetViews>
    <sheetView view="pageBreakPreview" topLeftCell="A52" zoomScale="60" zoomScaleNormal="100" workbookViewId="0">
      <selection activeCell="Q35" sqref="Q35"/>
    </sheetView>
  </sheetViews>
  <sheetFormatPr defaultColWidth="8.85546875" defaultRowHeight="15" x14ac:dyDescent="0.25"/>
  <cols>
    <col min="1" max="1" width="21.42578125" customWidth="1"/>
    <col min="2" max="2" width="14.42578125" customWidth="1"/>
    <col min="3" max="3" width="14.28515625" style="302" customWidth="1"/>
    <col min="4" max="4" width="14.140625" style="302" customWidth="1"/>
    <col min="5" max="5" width="14.85546875" style="302" customWidth="1"/>
    <col min="6" max="6" width="11.85546875" style="302" customWidth="1"/>
    <col min="7" max="7" width="15.85546875" style="302" customWidth="1"/>
    <col min="8" max="8" width="13.42578125" style="302" customWidth="1"/>
    <col min="9" max="28" width="8.42578125" style="302" customWidth="1"/>
  </cols>
  <sheetData>
    <row r="1" spans="1:29" ht="15.75" thickBot="1" x14ac:dyDescent="0.3"/>
    <row r="2" spans="1:29" ht="48.75" customHeight="1" thickBot="1" x14ac:dyDescent="0.3">
      <c r="A2" s="305" t="s">
        <v>228</v>
      </c>
      <c r="B2" s="325" t="s">
        <v>229</v>
      </c>
      <c r="C2" s="323" t="s">
        <v>230</v>
      </c>
      <c r="D2" s="306" t="s">
        <v>231</v>
      </c>
      <c r="E2" s="306" t="s">
        <v>232</v>
      </c>
      <c r="F2" s="330" t="s">
        <v>223</v>
      </c>
      <c r="G2" s="325" t="s">
        <v>233</v>
      </c>
      <c r="H2" s="334" t="s">
        <v>230</v>
      </c>
      <c r="I2" s="307" t="s">
        <v>223</v>
      </c>
      <c r="O2" s="308"/>
      <c r="P2" s="309"/>
      <c r="Q2" s="309"/>
      <c r="R2" s="310"/>
      <c r="S2" s="310"/>
      <c r="T2" s="310"/>
      <c r="U2" s="310"/>
      <c r="V2" s="310"/>
      <c r="W2" s="310"/>
      <c r="X2" s="310"/>
      <c r="Y2" s="309"/>
      <c r="Z2" s="309"/>
      <c r="AA2" s="310"/>
      <c r="AB2" s="310"/>
      <c r="AC2" s="310"/>
    </row>
    <row r="3" spans="1:29" x14ac:dyDescent="0.25">
      <c r="A3" s="311" t="s">
        <v>172</v>
      </c>
      <c r="B3" s="326"/>
      <c r="C3" s="324"/>
      <c r="D3" s="320"/>
      <c r="E3" s="320"/>
      <c r="F3" s="331"/>
      <c r="G3" s="335"/>
      <c r="H3" s="324"/>
      <c r="I3" s="320"/>
      <c r="O3" s="312"/>
      <c r="P3" s="313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</row>
    <row r="4" spans="1:29" x14ac:dyDescent="0.25">
      <c r="A4" s="315" t="s">
        <v>234</v>
      </c>
      <c r="B4" s="327" t="s">
        <v>235</v>
      </c>
      <c r="C4" s="322"/>
      <c r="D4" s="321"/>
      <c r="E4" s="321"/>
      <c r="F4" s="332"/>
      <c r="G4" s="328"/>
      <c r="H4" s="322"/>
      <c r="I4" s="321"/>
      <c r="O4" s="312"/>
      <c r="P4" s="316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</row>
    <row r="5" spans="1:29" ht="15.75" customHeight="1" x14ac:dyDescent="0.25">
      <c r="A5" s="317" t="s">
        <v>236</v>
      </c>
      <c r="B5" s="328"/>
      <c r="C5" s="322"/>
      <c r="D5" s="321"/>
      <c r="E5" s="321"/>
      <c r="F5" s="332"/>
      <c r="G5" s="328"/>
      <c r="H5" s="322"/>
      <c r="I5" s="321"/>
      <c r="O5" s="312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</row>
    <row r="6" spans="1:29" x14ac:dyDescent="0.25">
      <c r="A6" s="317" t="s">
        <v>237</v>
      </c>
      <c r="B6" s="328"/>
      <c r="C6" s="322"/>
      <c r="D6" s="321"/>
      <c r="E6" s="321"/>
      <c r="F6" s="332"/>
      <c r="G6" s="328"/>
      <c r="H6" s="322"/>
      <c r="I6" s="321"/>
      <c r="O6" s="312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</row>
    <row r="7" spans="1:29" x14ac:dyDescent="0.25">
      <c r="A7" s="317" t="s">
        <v>238</v>
      </c>
      <c r="B7" s="328"/>
      <c r="C7" s="322"/>
      <c r="D7" s="321"/>
      <c r="E7" s="321"/>
      <c r="F7" s="332"/>
      <c r="G7" s="328"/>
      <c r="H7" s="322"/>
      <c r="I7" s="321"/>
      <c r="O7" s="312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</row>
    <row r="8" spans="1:29" x14ac:dyDescent="0.25">
      <c r="A8" s="317" t="s">
        <v>239</v>
      </c>
      <c r="B8" s="328"/>
      <c r="C8" s="322"/>
      <c r="D8" s="321"/>
      <c r="E8" s="321"/>
      <c r="F8" s="332"/>
      <c r="G8" s="328"/>
      <c r="H8" s="322"/>
      <c r="I8" s="321"/>
      <c r="O8" s="312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</row>
    <row r="9" spans="1:29" x14ac:dyDescent="0.25">
      <c r="A9" s="317" t="s">
        <v>240</v>
      </c>
      <c r="B9" s="328"/>
      <c r="C9" s="322"/>
      <c r="D9" s="321"/>
      <c r="E9" s="321"/>
      <c r="F9" s="332"/>
      <c r="G9" s="328"/>
      <c r="H9" s="322"/>
      <c r="I9" s="321"/>
      <c r="O9" s="312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</row>
    <row r="10" spans="1:29" x14ac:dyDescent="0.25">
      <c r="A10" s="317" t="s">
        <v>241</v>
      </c>
      <c r="B10" s="328"/>
      <c r="C10" s="322"/>
      <c r="D10" s="321"/>
      <c r="E10" s="321"/>
      <c r="F10" s="332"/>
      <c r="G10" s="328"/>
      <c r="H10" s="322"/>
      <c r="I10" s="321"/>
      <c r="O10" s="312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</row>
    <row r="11" spans="1:29" x14ac:dyDescent="0.25">
      <c r="A11" s="317" t="s">
        <v>242</v>
      </c>
      <c r="B11" s="328"/>
      <c r="C11" s="322"/>
      <c r="D11" s="321"/>
      <c r="E11" s="321"/>
      <c r="F11" s="332"/>
      <c r="G11" s="328"/>
      <c r="H11" s="322"/>
      <c r="I11" s="321"/>
      <c r="O11" s="312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</row>
    <row r="12" spans="1:29" x14ac:dyDescent="0.25">
      <c r="A12" s="317" t="s">
        <v>243</v>
      </c>
      <c r="B12" s="328"/>
      <c r="C12" s="322"/>
      <c r="D12" s="321"/>
      <c r="E12" s="321"/>
      <c r="F12" s="332"/>
      <c r="G12" s="328"/>
      <c r="H12" s="322"/>
      <c r="I12" s="321"/>
      <c r="O12" s="312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</row>
    <row r="13" spans="1:29" x14ac:dyDescent="0.25">
      <c r="A13" s="317" t="s">
        <v>244</v>
      </c>
      <c r="B13" s="328"/>
      <c r="C13" s="322"/>
      <c r="D13" s="321"/>
      <c r="E13" s="321"/>
      <c r="F13" s="332"/>
      <c r="G13" s="328"/>
      <c r="H13" s="322"/>
      <c r="I13" s="321"/>
      <c r="O13" s="312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</row>
    <row r="14" spans="1:29" x14ac:dyDescent="0.25">
      <c r="A14" s="317" t="s">
        <v>245</v>
      </c>
      <c r="B14" s="328"/>
      <c r="C14" s="322"/>
      <c r="D14" s="321"/>
      <c r="E14" s="321"/>
      <c r="F14" s="332"/>
      <c r="G14" s="328"/>
      <c r="H14" s="322"/>
      <c r="I14" s="321"/>
      <c r="O14" s="312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</row>
    <row r="15" spans="1:29" x14ac:dyDescent="0.25">
      <c r="A15" s="317" t="s">
        <v>246</v>
      </c>
      <c r="B15" s="328"/>
      <c r="C15" s="322"/>
      <c r="D15" s="321"/>
      <c r="E15" s="321"/>
      <c r="F15" s="332"/>
      <c r="G15" s="328"/>
      <c r="H15" s="322"/>
      <c r="I15" s="321"/>
      <c r="O15" s="312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</row>
    <row r="16" spans="1:29" x14ac:dyDescent="0.25">
      <c r="A16" s="317" t="s">
        <v>247</v>
      </c>
      <c r="B16" s="328"/>
      <c r="C16" s="322"/>
      <c r="D16" s="321"/>
      <c r="E16" s="321"/>
      <c r="F16" s="332"/>
      <c r="G16" s="328"/>
      <c r="H16" s="322"/>
      <c r="I16" s="321"/>
      <c r="O16" s="312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</row>
    <row r="17" spans="1:29" x14ac:dyDescent="0.25">
      <c r="A17" s="317" t="s">
        <v>248</v>
      </c>
      <c r="B17" s="328"/>
      <c r="C17" s="322"/>
      <c r="D17" s="321"/>
      <c r="E17" s="321"/>
      <c r="F17" s="332"/>
      <c r="G17" s="328"/>
      <c r="H17" s="322"/>
      <c r="I17" s="321"/>
      <c r="O17" s="312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</row>
    <row r="18" spans="1:29" x14ac:dyDescent="0.25">
      <c r="A18" s="317" t="s">
        <v>249</v>
      </c>
      <c r="B18" s="328"/>
      <c r="C18" s="322"/>
      <c r="D18" s="321"/>
      <c r="E18" s="321"/>
      <c r="F18" s="332"/>
      <c r="G18" s="328"/>
      <c r="H18" s="322"/>
      <c r="I18" s="321"/>
      <c r="O18" s="312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</row>
    <row r="19" spans="1:29" x14ac:dyDescent="0.25">
      <c r="A19" s="317" t="s">
        <v>250</v>
      </c>
      <c r="B19" s="328"/>
      <c r="C19" s="322"/>
      <c r="D19" s="321"/>
      <c r="E19" s="321"/>
      <c r="F19" s="332"/>
      <c r="G19" s="328"/>
      <c r="H19" s="322"/>
      <c r="I19" s="321"/>
      <c r="O19" s="312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</row>
    <row r="20" spans="1:29" x14ac:dyDescent="0.25">
      <c r="A20" s="317" t="s">
        <v>251</v>
      </c>
      <c r="B20" s="328"/>
      <c r="C20" s="322"/>
      <c r="D20" s="321"/>
      <c r="E20" s="321"/>
      <c r="F20" s="332"/>
      <c r="G20" s="328"/>
      <c r="H20" s="322"/>
      <c r="I20" s="321"/>
      <c r="O20" s="312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</row>
    <row r="21" spans="1:29" x14ac:dyDescent="0.25">
      <c r="A21" s="317" t="s">
        <v>252</v>
      </c>
      <c r="B21" s="328"/>
      <c r="C21" s="322"/>
      <c r="D21" s="321"/>
      <c r="E21" s="321"/>
      <c r="F21" s="332"/>
      <c r="G21" s="328"/>
      <c r="H21" s="322"/>
      <c r="I21" s="321"/>
      <c r="O21" s="312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</row>
    <row r="22" spans="1:29" x14ac:dyDescent="0.25">
      <c r="A22" s="317" t="s">
        <v>253</v>
      </c>
      <c r="B22" s="328"/>
      <c r="C22" s="322"/>
      <c r="D22" s="321"/>
      <c r="E22" s="321"/>
      <c r="F22" s="332"/>
      <c r="G22" s="328"/>
      <c r="H22" s="322"/>
      <c r="I22" s="321"/>
      <c r="O22" s="312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</row>
    <row r="23" spans="1:29" x14ac:dyDescent="0.25">
      <c r="A23" s="317" t="s">
        <v>254</v>
      </c>
      <c r="B23" s="328"/>
      <c r="C23" s="322"/>
      <c r="D23" s="321"/>
      <c r="E23" s="321"/>
      <c r="F23" s="332"/>
      <c r="G23" s="328"/>
      <c r="H23" s="322"/>
      <c r="I23" s="321"/>
      <c r="O23" s="312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</row>
    <row r="24" spans="1:29" x14ac:dyDescent="0.25">
      <c r="A24" s="317" t="s">
        <v>255</v>
      </c>
      <c r="B24" s="328"/>
      <c r="C24" s="322"/>
      <c r="D24" s="321"/>
      <c r="E24" s="321"/>
      <c r="F24" s="332"/>
      <c r="G24" s="328"/>
      <c r="H24" s="322"/>
      <c r="I24" s="321"/>
      <c r="O24" s="312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</row>
    <row r="25" spans="1:29" x14ac:dyDescent="0.25">
      <c r="A25" s="317" t="s">
        <v>256</v>
      </c>
      <c r="B25" s="328"/>
      <c r="C25" s="322"/>
      <c r="D25" s="321"/>
      <c r="E25" s="321"/>
      <c r="F25" s="332"/>
      <c r="G25" s="328"/>
      <c r="H25" s="322"/>
      <c r="I25" s="321"/>
      <c r="O25" s="312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</row>
    <row r="26" spans="1:29" x14ac:dyDescent="0.25">
      <c r="A26" s="317" t="s">
        <v>257</v>
      </c>
      <c r="B26" s="328"/>
      <c r="C26" s="322"/>
      <c r="D26" s="321"/>
      <c r="E26" s="321"/>
      <c r="F26" s="332"/>
      <c r="G26" s="328"/>
      <c r="H26" s="322"/>
      <c r="I26" s="321"/>
      <c r="O26" s="312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</row>
    <row r="27" spans="1:29" x14ac:dyDescent="0.25">
      <c r="A27" s="317" t="s">
        <v>258</v>
      </c>
      <c r="B27" s="328"/>
      <c r="C27" s="322"/>
      <c r="D27" s="321"/>
      <c r="E27" s="321"/>
      <c r="F27" s="332"/>
      <c r="G27" s="328"/>
      <c r="H27" s="322"/>
      <c r="I27" s="321"/>
      <c r="O27" s="312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</row>
    <row r="28" spans="1:29" x14ac:dyDescent="0.25">
      <c r="A28" s="317" t="s">
        <v>259</v>
      </c>
      <c r="B28" s="328"/>
      <c r="C28" s="322"/>
      <c r="D28" s="321"/>
      <c r="E28" s="321"/>
      <c r="F28" s="332"/>
      <c r="G28" s="328"/>
      <c r="H28" s="322"/>
      <c r="I28" s="321"/>
      <c r="O28" s="312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</row>
    <row r="29" spans="1:29" x14ac:dyDescent="0.25">
      <c r="A29" s="317" t="s">
        <v>260</v>
      </c>
      <c r="B29" s="328"/>
      <c r="C29" s="322"/>
      <c r="D29" s="321"/>
      <c r="E29" s="321"/>
      <c r="F29" s="332"/>
      <c r="G29" s="328"/>
      <c r="H29" s="322"/>
      <c r="I29" s="321"/>
      <c r="O29" s="312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</row>
    <row r="30" spans="1:29" x14ac:dyDescent="0.25">
      <c r="A30" s="317" t="s">
        <v>261</v>
      </c>
      <c r="B30" s="328"/>
      <c r="C30" s="322"/>
      <c r="D30" s="321"/>
      <c r="E30" s="321"/>
      <c r="F30" s="332"/>
      <c r="G30" s="328"/>
      <c r="H30" s="322"/>
      <c r="I30" s="321"/>
      <c r="O30" s="312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</row>
    <row r="31" spans="1:29" x14ac:dyDescent="0.25">
      <c r="A31" s="317" t="s">
        <v>262</v>
      </c>
      <c r="B31" s="328"/>
      <c r="C31" s="322"/>
      <c r="D31" s="321"/>
      <c r="E31" s="321"/>
      <c r="F31" s="332"/>
      <c r="G31" s="328"/>
      <c r="H31" s="322"/>
      <c r="I31" s="321"/>
      <c r="O31" s="312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</row>
    <row r="32" spans="1:29" x14ac:dyDescent="0.25">
      <c r="A32" s="317" t="s">
        <v>263</v>
      </c>
      <c r="B32" s="328"/>
      <c r="C32" s="322"/>
      <c r="D32" s="321"/>
      <c r="E32" s="321"/>
      <c r="F32" s="332"/>
      <c r="G32" s="328"/>
      <c r="H32" s="322"/>
      <c r="I32" s="321"/>
      <c r="O32" s="312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</row>
    <row r="33" spans="1:29" x14ac:dyDescent="0.25">
      <c r="A33" s="317" t="s">
        <v>264</v>
      </c>
      <c r="B33" s="328"/>
      <c r="C33" s="322"/>
      <c r="D33" s="321"/>
      <c r="E33" s="321"/>
      <c r="F33" s="332"/>
      <c r="G33" s="328"/>
      <c r="H33" s="322"/>
      <c r="I33" s="321"/>
      <c r="O33" s="312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</row>
    <row r="34" spans="1:29" ht="15.75" thickBot="1" x14ac:dyDescent="0.3">
      <c r="A34" s="318" t="s">
        <v>265</v>
      </c>
      <c r="B34" s="329"/>
      <c r="C34" s="319"/>
      <c r="D34" s="256"/>
      <c r="E34" s="256"/>
      <c r="F34" s="333"/>
      <c r="G34" s="329"/>
      <c r="H34" s="319"/>
      <c r="I34" s="256"/>
      <c r="O34" s="312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</row>
    <row r="37" spans="1:29" ht="15.75" thickBot="1" x14ac:dyDescent="0.3"/>
    <row r="38" spans="1:29" ht="45.75" thickBot="1" x14ac:dyDescent="0.3">
      <c r="A38" s="305" t="s">
        <v>266</v>
      </c>
      <c r="B38" s="325" t="s">
        <v>229</v>
      </c>
      <c r="C38" s="323" t="s">
        <v>230</v>
      </c>
      <c r="D38" s="306" t="s">
        <v>231</v>
      </c>
      <c r="E38" s="306" t="s">
        <v>232</v>
      </c>
      <c r="F38" s="330" t="s">
        <v>223</v>
      </c>
      <c r="G38" s="325" t="s">
        <v>233</v>
      </c>
      <c r="H38" s="334" t="s">
        <v>230</v>
      </c>
      <c r="I38" s="307" t="s">
        <v>223</v>
      </c>
    </row>
    <row r="39" spans="1:29" x14ac:dyDescent="0.25">
      <c r="A39" s="311" t="s">
        <v>172</v>
      </c>
      <c r="B39" s="326"/>
      <c r="C39" s="324"/>
      <c r="D39" s="320"/>
      <c r="E39" s="320"/>
      <c r="F39" s="331"/>
      <c r="G39" s="335"/>
      <c r="H39" s="324"/>
      <c r="I39" s="320"/>
    </row>
    <row r="40" spans="1:29" x14ac:dyDescent="0.25">
      <c r="A40" s="315" t="s">
        <v>234</v>
      </c>
      <c r="B40" s="327" t="s">
        <v>235</v>
      </c>
      <c r="C40" s="322"/>
      <c r="D40" s="321"/>
      <c r="E40" s="321"/>
      <c r="F40" s="332"/>
      <c r="G40" s="328"/>
      <c r="H40" s="322"/>
      <c r="I40" s="321"/>
    </row>
    <row r="41" spans="1:29" x14ac:dyDescent="0.25">
      <c r="A41" s="317" t="s">
        <v>236</v>
      </c>
      <c r="B41" s="328"/>
      <c r="C41" s="322"/>
      <c r="D41" s="321"/>
      <c r="E41" s="321"/>
      <c r="F41" s="332"/>
      <c r="G41" s="328"/>
      <c r="H41" s="322"/>
      <c r="I41" s="321"/>
    </row>
    <row r="42" spans="1:29" x14ac:dyDescent="0.25">
      <c r="A42" s="317" t="s">
        <v>237</v>
      </c>
      <c r="B42" s="328"/>
      <c r="C42" s="322"/>
      <c r="D42" s="321"/>
      <c r="E42" s="321"/>
      <c r="F42" s="332"/>
      <c r="G42" s="328"/>
      <c r="H42" s="322"/>
      <c r="I42" s="321"/>
    </row>
    <row r="43" spans="1:29" x14ac:dyDescent="0.25">
      <c r="A43" s="317" t="s">
        <v>238</v>
      </c>
      <c r="B43" s="328"/>
      <c r="C43" s="322"/>
      <c r="D43" s="321"/>
      <c r="E43" s="321"/>
      <c r="F43" s="332"/>
      <c r="G43" s="328"/>
      <c r="H43" s="322"/>
      <c r="I43" s="321"/>
    </row>
    <row r="44" spans="1:29" x14ac:dyDescent="0.25">
      <c r="A44" s="317" t="s">
        <v>239</v>
      </c>
      <c r="B44" s="328"/>
      <c r="C44" s="322"/>
      <c r="D44" s="321"/>
      <c r="E44" s="321"/>
      <c r="F44" s="332"/>
      <c r="G44" s="328"/>
      <c r="H44" s="322"/>
      <c r="I44" s="321"/>
    </row>
    <row r="45" spans="1:29" x14ac:dyDescent="0.25">
      <c r="A45" s="317" t="s">
        <v>240</v>
      </c>
      <c r="B45" s="328"/>
      <c r="C45" s="322"/>
      <c r="D45" s="321"/>
      <c r="E45" s="321"/>
      <c r="F45" s="332"/>
      <c r="G45" s="328"/>
      <c r="H45" s="322"/>
      <c r="I45" s="321"/>
    </row>
    <row r="46" spans="1:29" x14ac:dyDescent="0.25">
      <c r="A46" s="317" t="s">
        <v>241</v>
      </c>
      <c r="B46" s="328"/>
      <c r="C46" s="322"/>
      <c r="D46" s="321"/>
      <c r="E46" s="321"/>
      <c r="F46" s="332"/>
      <c r="G46" s="328"/>
      <c r="H46" s="322"/>
      <c r="I46" s="321"/>
    </row>
    <row r="47" spans="1:29" x14ac:dyDescent="0.25">
      <c r="A47" s="317" t="s">
        <v>242</v>
      </c>
      <c r="B47" s="328"/>
      <c r="C47" s="322"/>
      <c r="D47" s="321"/>
      <c r="E47" s="321"/>
      <c r="F47" s="332"/>
      <c r="G47" s="328"/>
      <c r="H47" s="322"/>
      <c r="I47" s="321"/>
    </row>
    <row r="48" spans="1:29" x14ac:dyDescent="0.25">
      <c r="A48" s="317" t="s">
        <v>243</v>
      </c>
      <c r="B48" s="328"/>
      <c r="C48" s="322"/>
      <c r="D48" s="321"/>
      <c r="E48" s="321"/>
      <c r="F48" s="332"/>
      <c r="G48" s="328"/>
      <c r="H48" s="322"/>
      <c r="I48" s="321"/>
    </row>
    <row r="49" spans="1:9" x14ac:dyDescent="0.25">
      <c r="A49" s="317" t="s">
        <v>244</v>
      </c>
      <c r="B49" s="328"/>
      <c r="C49" s="322"/>
      <c r="D49" s="321"/>
      <c r="E49" s="321"/>
      <c r="F49" s="332"/>
      <c r="G49" s="328"/>
      <c r="H49" s="322"/>
      <c r="I49" s="321"/>
    </row>
    <row r="50" spans="1:9" x14ac:dyDescent="0.25">
      <c r="A50" s="317" t="s">
        <v>245</v>
      </c>
      <c r="B50" s="328"/>
      <c r="C50" s="322"/>
      <c r="D50" s="321"/>
      <c r="E50" s="321"/>
      <c r="F50" s="332"/>
      <c r="G50" s="328"/>
      <c r="H50" s="322"/>
      <c r="I50" s="321"/>
    </row>
    <row r="51" spans="1:9" x14ac:dyDescent="0.25">
      <c r="A51" s="317" t="s">
        <v>246</v>
      </c>
      <c r="B51" s="328"/>
      <c r="C51" s="322"/>
      <c r="D51" s="321"/>
      <c r="E51" s="321"/>
      <c r="F51" s="332"/>
      <c r="G51" s="328"/>
      <c r="H51" s="322"/>
      <c r="I51" s="321"/>
    </row>
    <row r="52" spans="1:9" x14ac:dyDescent="0.25">
      <c r="A52" s="317" t="s">
        <v>247</v>
      </c>
      <c r="B52" s="328"/>
      <c r="C52" s="322"/>
      <c r="D52" s="321"/>
      <c r="E52" s="321"/>
      <c r="F52" s="332"/>
      <c r="G52" s="328"/>
      <c r="H52" s="322"/>
      <c r="I52" s="321"/>
    </row>
    <row r="53" spans="1:9" x14ac:dyDescent="0.25">
      <c r="A53" s="317" t="s">
        <v>248</v>
      </c>
      <c r="B53" s="328"/>
      <c r="C53" s="322"/>
      <c r="D53" s="321"/>
      <c r="E53" s="321"/>
      <c r="F53" s="332"/>
      <c r="G53" s="328"/>
      <c r="H53" s="322"/>
      <c r="I53" s="321"/>
    </row>
    <row r="54" spans="1:9" x14ac:dyDescent="0.25">
      <c r="A54" s="317" t="s">
        <v>249</v>
      </c>
      <c r="B54" s="328"/>
      <c r="C54" s="322"/>
      <c r="D54" s="321"/>
      <c r="E54" s="321"/>
      <c r="F54" s="332"/>
      <c r="G54" s="328"/>
      <c r="H54" s="322"/>
      <c r="I54" s="321"/>
    </row>
    <row r="55" spans="1:9" x14ac:dyDescent="0.25">
      <c r="A55" s="317" t="s">
        <v>250</v>
      </c>
      <c r="B55" s="328"/>
      <c r="C55" s="322"/>
      <c r="D55" s="321"/>
      <c r="E55" s="321"/>
      <c r="F55" s="332"/>
      <c r="G55" s="328"/>
      <c r="H55" s="322"/>
      <c r="I55" s="321"/>
    </row>
    <row r="56" spans="1:9" x14ac:dyDescent="0.25">
      <c r="A56" s="317" t="s">
        <v>251</v>
      </c>
      <c r="B56" s="328"/>
      <c r="C56" s="322"/>
      <c r="D56" s="321"/>
      <c r="E56" s="321"/>
      <c r="F56" s="332"/>
      <c r="G56" s="328"/>
      <c r="H56" s="322"/>
      <c r="I56" s="321"/>
    </row>
    <row r="57" spans="1:9" x14ac:dyDescent="0.25">
      <c r="A57" s="317" t="s">
        <v>252</v>
      </c>
      <c r="B57" s="328"/>
      <c r="C57" s="322"/>
      <c r="D57" s="321"/>
      <c r="E57" s="321"/>
      <c r="F57" s="332"/>
      <c r="G57" s="328"/>
      <c r="H57" s="322"/>
      <c r="I57" s="321"/>
    </row>
    <row r="58" spans="1:9" x14ac:dyDescent="0.25">
      <c r="A58" s="317" t="s">
        <v>253</v>
      </c>
      <c r="B58" s="328"/>
      <c r="C58" s="322"/>
      <c r="D58" s="321"/>
      <c r="E58" s="321"/>
      <c r="F58" s="332"/>
      <c r="G58" s="328"/>
      <c r="H58" s="322"/>
      <c r="I58" s="321"/>
    </row>
    <row r="59" spans="1:9" x14ac:dyDescent="0.25">
      <c r="A59" s="317" t="s">
        <v>254</v>
      </c>
      <c r="B59" s="328"/>
      <c r="C59" s="322"/>
      <c r="D59" s="321"/>
      <c r="E59" s="321"/>
      <c r="F59" s="332"/>
      <c r="G59" s="328"/>
      <c r="H59" s="322"/>
      <c r="I59" s="321"/>
    </row>
    <row r="60" spans="1:9" x14ac:dyDescent="0.25">
      <c r="A60" s="317" t="s">
        <v>255</v>
      </c>
      <c r="B60" s="328"/>
      <c r="C60" s="322"/>
      <c r="D60" s="321"/>
      <c r="E60" s="321"/>
      <c r="F60" s="332"/>
      <c r="G60" s="328"/>
      <c r="H60" s="322"/>
      <c r="I60" s="321"/>
    </row>
    <row r="61" spans="1:9" x14ac:dyDescent="0.25">
      <c r="A61" s="317" t="s">
        <v>256</v>
      </c>
      <c r="B61" s="328"/>
      <c r="C61" s="322"/>
      <c r="D61" s="321"/>
      <c r="E61" s="321"/>
      <c r="F61" s="332"/>
      <c r="G61" s="328"/>
      <c r="H61" s="322"/>
      <c r="I61" s="321"/>
    </row>
    <row r="62" spans="1:9" x14ac:dyDescent="0.25">
      <c r="A62" s="317" t="s">
        <v>257</v>
      </c>
      <c r="B62" s="328"/>
      <c r="C62" s="322"/>
      <c r="D62" s="321"/>
      <c r="E62" s="321"/>
      <c r="F62" s="332"/>
      <c r="G62" s="328"/>
      <c r="H62" s="322"/>
      <c r="I62" s="321"/>
    </row>
    <row r="63" spans="1:9" x14ac:dyDescent="0.25">
      <c r="A63" s="317" t="s">
        <v>258</v>
      </c>
      <c r="B63" s="328"/>
      <c r="C63" s="322"/>
      <c r="D63" s="321"/>
      <c r="E63" s="321"/>
      <c r="F63" s="332"/>
      <c r="G63" s="328"/>
      <c r="H63" s="322"/>
      <c r="I63" s="321"/>
    </row>
    <row r="64" spans="1:9" x14ac:dyDescent="0.25">
      <c r="A64" s="317" t="s">
        <v>259</v>
      </c>
      <c r="B64" s="328"/>
      <c r="C64" s="322"/>
      <c r="D64" s="321"/>
      <c r="E64" s="321"/>
      <c r="F64" s="332"/>
      <c r="G64" s="328"/>
      <c r="H64" s="322"/>
      <c r="I64" s="321"/>
    </row>
    <row r="65" spans="1:9" x14ac:dyDescent="0.25">
      <c r="A65" s="317" t="s">
        <v>260</v>
      </c>
      <c r="B65" s="328"/>
      <c r="C65" s="322"/>
      <c r="D65" s="321"/>
      <c r="E65" s="321"/>
      <c r="F65" s="332"/>
      <c r="G65" s="328"/>
      <c r="H65" s="322"/>
      <c r="I65" s="321"/>
    </row>
    <row r="66" spans="1:9" x14ac:dyDescent="0.25">
      <c r="A66" s="317" t="s">
        <v>261</v>
      </c>
      <c r="B66" s="328"/>
      <c r="C66" s="322"/>
      <c r="D66" s="321"/>
      <c r="E66" s="321"/>
      <c r="F66" s="332"/>
      <c r="G66" s="328"/>
      <c r="H66" s="322"/>
      <c r="I66" s="321"/>
    </row>
    <row r="67" spans="1:9" x14ac:dyDescent="0.25">
      <c r="A67" s="317" t="s">
        <v>262</v>
      </c>
      <c r="B67" s="328"/>
      <c r="C67" s="322"/>
      <c r="D67" s="321"/>
      <c r="E67" s="321"/>
      <c r="F67" s="332"/>
      <c r="G67" s="328"/>
      <c r="H67" s="322"/>
      <c r="I67" s="321"/>
    </row>
    <row r="68" spans="1:9" x14ac:dyDescent="0.25">
      <c r="A68" s="317" t="s">
        <v>263</v>
      </c>
      <c r="B68" s="328"/>
      <c r="C68" s="322"/>
      <c r="D68" s="321"/>
      <c r="E68" s="321"/>
      <c r="F68" s="332"/>
      <c r="G68" s="328"/>
      <c r="H68" s="322"/>
      <c r="I68" s="321"/>
    </row>
    <row r="69" spans="1:9" x14ac:dyDescent="0.25">
      <c r="A69" s="317" t="s">
        <v>264</v>
      </c>
      <c r="B69" s="328"/>
      <c r="C69" s="322"/>
      <c r="D69" s="321"/>
      <c r="E69" s="321"/>
      <c r="F69" s="332"/>
      <c r="G69" s="328"/>
      <c r="H69" s="322"/>
      <c r="I69" s="321"/>
    </row>
    <row r="70" spans="1:9" ht="15.75" thickBot="1" x14ac:dyDescent="0.3">
      <c r="A70" s="318" t="s">
        <v>265</v>
      </c>
      <c r="B70" s="329"/>
      <c r="C70" s="319"/>
      <c r="D70" s="256"/>
      <c r="E70" s="256"/>
      <c r="F70" s="333"/>
      <c r="G70" s="329"/>
      <c r="H70" s="319"/>
      <c r="I70" s="256"/>
    </row>
  </sheetData>
  <pageMargins left="0.7" right="0.7" top="0.75" bottom="0.75" header="0.3" footer="0.3"/>
  <pageSetup paperSize="9"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138"/>
  <sheetViews>
    <sheetView view="pageBreakPreview" zoomScale="60" zoomScaleNormal="80" workbookViewId="0">
      <selection activeCell="B4" sqref="B4:B13"/>
    </sheetView>
  </sheetViews>
  <sheetFormatPr defaultColWidth="8.85546875" defaultRowHeight="15" x14ac:dyDescent="0.25"/>
  <cols>
    <col min="1" max="1" width="26" customWidth="1"/>
    <col min="2" max="2" width="11.42578125" customWidth="1"/>
    <col min="4" max="4" width="20.85546875" customWidth="1"/>
    <col min="6" max="8" width="12.42578125" bestFit="1" customWidth="1"/>
    <col min="9" max="9" width="13.140625" bestFit="1" customWidth="1"/>
  </cols>
  <sheetData>
    <row r="1" spans="1:9" ht="15.75" thickBot="1" x14ac:dyDescent="0.3"/>
    <row r="2" spans="1:9" x14ac:dyDescent="0.25">
      <c r="A2" s="868" t="str">
        <f>'Parametre - Agendové IS'!G1</f>
        <v>Vybavenie žiadosti o informáciu o dostupnej fyzickej infraštruktúre v definovanej  oblasti</v>
      </c>
      <c r="B2" s="869"/>
      <c r="C2" s="870"/>
      <c r="D2" s="874" t="s">
        <v>108</v>
      </c>
      <c r="E2" s="875"/>
      <c r="F2" s="364" t="s">
        <v>167</v>
      </c>
      <c r="G2" s="364" t="s">
        <v>168</v>
      </c>
      <c r="H2" s="364" t="s">
        <v>169</v>
      </c>
      <c r="I2" s="364" t="s">
        <v>171</v>
      </c>
    </row>
    <row r="3" spans="1:9" ht="15.75" thickBot="1" x14ac:dyDescent="0.3">
      <c r="A3" s="871"/>
      <c r="B3" s="872"/>
      <c r="C3" s="873"/>
      <c r="D3" s="587" t="s">
        <v>361</v>
      </c>
      <c r="E3" s="588" t="s">
        <v>170</v>
      </c>
      <c r="F3" s="189" t="s">
        <v>170</v>
      </c>
      <c r="G3" s="189" t="s">
        <v>170</v>
      </c>
      <c r="H3" s="189" t="s">
        <v>170</v>
      </c>
      <c r="I3" s="189" t="s">
        <v>170</v>
      </c>
    </row>
    <row r="4" spans="1:9" ht="15" customHeight="1" x14ac:dyDescent="0.25">
      <c r="A4" s="862" t="s">
        <v>43</v>
      </c>
      <c r="B4" s="865" t="s">
        <v>188</v>
      </c>
      <c r="C4" s="190" t="s">
        <v>25</v>
      </c>
      <c r="D4" s="589" t="str">
        <f>IF(E4='Parametre - Agendové IS'!H107,"OK","Chyba počtu FTE")</f>
        <v>OK</v>
      </c>
      <c r="E4" s="590">
        <f t="shared" ref="E4:E33" si="0">F4+G4+H4+I4</f>
        <v>0</v>
      </c>
      <c r="F4" s="255"/>
      <c r="G4" s="255"/>
      <c r="H4" s="255"/>
      <c r="I4" s="255"/>
    </row>
    <row r="5" spans="1:9" x14ac:dyDescent="0.25">
      <c r="A5" s="863"/>
      <c r="B5" s="866"/>
      <c r="C5" s="187" t="s">
        <v>26</v>
      </c>
      <c r="D5" s="591" t="str">
        <f>IF(E5='Parametre - Agendové IS'!H108,"OK","Chyba počtu FTE")</f>
        <v>OK</v>
      </c>
      <c r="E5" s="592">
        <f t="shared" si="0"/>
        <v>0</v>
      </c>
      <c r="F5" s="256"/>
      <c r="G5" s="256"/>
      <c r="H5" s="256"/>
      <c r="I5" s="256"/>
    </row>
    <row r="6" spans="1:9" x14ac:dyDescent="0.25">
      <c r="A6" s="863"/>
      <c r="B6" s="866"/>
      <c r="C6" s="187" t="s">
        <v>27</v>
      </c>
      <c r="D6" s="591" t="str">
        <f>IF(E6='Parametre - Agendové IS'!H109,"OK","Chyba počtu FTE")</f>
        <v>OK</v>
      </c>
      <c r="E6" s="592">
        <f t="shared" si="0"/>
        <v>0</v>
      </c>
      <c r="F6" s="256"/>
      <c r="G6" s="256"/>
      <c r="H6" s="256"/>
      <c r="I6" s="256"/>
    </row>
    <row r="7" spans="1:9" x14ac:dyDescent="0.25">
      <c r="A7" s="863"/>
      <c r="B7" s="866"/>
      <c r="C7" s="187" t="s">
        <v>28</v>
      </c>
      <c r="D7" s="591" t="str">
        <f>IF(E7='Parametre - Agendové IS'!H110,"OK","Chyba počtu FTE")</f>
        <v>OK</v>
      </c>
      <c r="E7" s="592">
        <f t="shared" si="0"/>
        <v>0</v>
      </c>
      <c r="F7" s="256"/>
      <c r="G7" s="256"/>
      <c r="H7" s="256"/>
      <c r="I7" s="256"/>
    </row>
    <row r="8" spans="1:9" x14ac:dyDescent="0.25">
      <c r="A8" s="863"/>
      <c r="B8" s="866"/>
      <c r="C8" s="187" t="s">
        <v>29</v>
      </c>
      <c r="D8" s="591" t="str">
        <f>IF(E8='Parametre - Agendové IS'!H111,"OK","Chyba počtu FTE")</f>
        <v>OK</v>
      </c>
      <c r="E8" s="592">
        <f t="shared" si="0"/>
        <v>0</v>
      </c>
      <c r="F8" s="256"/>
      <c r="G8" s="256"/>
      <c r="H8" s="256"/>
      <c r="I8" s="256"/>
    </row>
    <row r="9" spans="1:9" x14ac:dyDescent="0.25">
      <c r="A9" s="863"/>
      <c r="B9" s="866"/>
      <c r="C9" s="187" t="s">
        <v>30</v>
      </c>
      <c r="D9" s="591" t="str">
        <f>IF(E9='Parametre - Agendové IS'!H112,"OK","Chyba počtu FTE")</f>
        <v>OK</v>
      </c>
      <c r="E9" s="592">
        <f t="shared" si="0"/>
        <v>0</v>
      </c>
      <c r="F9" s="256"/>
      <c r="G9" s="256"/>
      <c r="H9" s="256"/>
      <c r="I9" s="256"/>
    </row>
    <row r="10" spans="1:9" x14ac:dyDescent="0.25">
      <c r="A10" s="863"/>
      <c r="B10" s="866"/>
      <c r="C10" s="187" t="s">
        <v>31</v>
      </c>
      <c r="D10" s="591" t="str">
        <f>IF(E10='Parametre - Agendové IS'!H113,"OK","Chyba počtu FTE")</f>
        <v>OK</v>
      </c>
      <c r="E10" s="592">
        <f t="shared" si="0"/>
        <v>0</v>
      </c>
      <c r="F10" s="256"/>
      <c r="G10" s="256"/>
      <c r="H10" s="256"/>
      <c r="I10" s="256"/>
    </row>
    <row r="11" spans="1:9" x14ac:dyDescent="0.25">
      <c r="A11" s="863"/>
      <c r="B11" s="866"/>
      <c r="C11" s="187" t="s">
        <v>32</v>
      </c>
      <c r="D11" s="591" t="str">
        <f>IF(E11='Parametre - Agendové IS'!H114,"OK","Chyba počtu FTE")</f>
        <v>OK</v>
      </c>
      <c r="E11" s="592">
        <f t="shared" si="0"/>
        <v>0</v>
      </c>
      <c r="F11" s="256"/>
      <c r="G11" s="256"/>
      <c r="H11" s="256"/>
      <c r="I11" s="256"/>
    </row>
    <row r="12" spans="1:9" x14ac:dyDescent="0.25">
      <c r="A12" s="863"/>
      <c r="B12" s="866"/>
      <c r="C12" s="187" t="s">
        <v>33</v>
      </c>
      <c r="D12" s="591" t="str">
        <f>IF(E12='Parametre - Agendové IS'!H115,"OK","Chyba počtu FTE")</f>
        <v>OK</v>
      </c>
      <c r="E12" s="592">
        <f t="shared" si="0"/>
        <v>0</v>
      </c>
      <c r="F12" s="256"/>
      <c r="G12" s="256"/>
      <c r="H12" s="256"/>
      <c r="I12" s="256"/>
    </row>
    <row r="13" spans="1:9" ht="15.75" thickBot="1" x14ac:dyDescent="0.3">
      <c r="A13" s="863"/>
      <c r="B13" s="866"/>
      <c r="C13" s="187" t="s">
        <v>34</v>
      </c>
      <c r="D13" s="593" t="str">
        <f>IF(E13='Parametre - Agendové IS'!H116,"OK","Chyba počtu FTE")</f>
        <v>OK</v>
      </c>
      <c r="E13" s="594">
        <f t="shared" si="0"/>
        <v>0</v>
      </c>
      <c r="F13" s="257"/>
      <c r="G13" s="257"/>
      <c r="H13" s="257"/>
      <c r="I13" s="257"/>
    </row>
    <row r="14" spans="1:9" ht="15" customHeight="1" x14ac:dyDescent="0.25">
      <c r="A14" s="862" t="s">
        <v>41</v>
      </c>
      <c r="B14" s="865" t="s">
        <v>37</v>
      </c>
      <c r="C14" s="190" t="s">
        <v>25</v>
      </c>
      <c r="D14" s="590" t="str">
        <f>IF(E14='Parametre - Agendové IS'!H16,"OK","Chyba počtu podaní")</f>
        <v>OK</v>
      </c>
      <c r="E14" s="595">
        <f t="shared" si="0"/>
        <v>0</v>
      </c>
      <c r="F14" s="255"/>
      <c r="G14" s="255"/>
      <c r="H14" s="255"/>
      <c r="I14" s="255"/>
    </row>
    <row r="15" spans="1:9" x14ac:dyDescent="0.25">
      <c r="A15" s="863"/>
      <c r="B15" s="866"/>
      <c r="C15" s="187" t="s">
        <v>26</v>
      </c>
      <c r="D15" s="591" t="str">
        <f>IF(E15='Parametre - Agendové IS'!H17,"OK","Chyba počtu podaní")</f>
        <v>OK</v>
      </c>
      <c r="E15" s="592">
        <f t="shared" si="0"/>
        <v>0</v>
      </c>
      <c r="F15" s="256"/>
      <c r="G15" s="256"/>
      <c r="H15" s="256"/>
      <c r="I15" s="256"/>
    </row>
    <row r="16" spans="1:9" x14ac:dyDescent="0.25">
      <c r="A16" s="863"/>
      <c r="B16" s="866"/>
      <c r="C16" s="187" t="s">
        <v>27</v>
      </c>
      <c r="D16" s="591" t="str">
        <f>IF(E16='Parametre - Agendové IS'!H18,"OK","Chyba počtu podaní")</f>
        <v>Chyba počtu podaní</v>
      </c>
      <c r="E16" s="592">
        <f t="shared" si="0"/>
        <v>0</v>
      </c>
      <c r="F16" s="256"/>
      <c r="G16" s="256"/>
      <c r="H16" s="256"/>
      <c r="I16" s="256"/>
    </row>
    <row r="17" spans="1:9" x14ac:dyDescent="0.25">
      <c r="A17" s="863"/>
      <c r="B17" s="866"/>
      <c r="C17" s="187" t="s">
        <v>28</v>
      </c>
      <c r="D17" s="591" t="str">
        <f>IF(E17='Parametre - Agendové IS'!H19,"OK","Chyba počtu podaní")</f>
        <v>Chyba počtu podaní</v>
      </c>
      <c r="E17" s="592">
        <f t="shared" si="0"/>
        <v>0</v>
      </c>
      <c r="F17" s="256"/>
      <c r="G17" s="256"/>
      <c r="H17" s="256"/>
      <c r="I17" s="256"/>
    </row>
    <row r="18" spans="1:9" x14ac:dyDescent="0.25">
      <c r="A18" s="863"/>
      <c r="B18" s="866"/>
      <c r="C18" s="187" t="s">
        <v>29</v>
      </c>
      <c r="D18" s="591" t="str">
        <f>IF(E18='Parametre - Agendové IS'!H20,"OK","Chyba počtu podaní")</f>
        <v>Chyba počtu podaní</v>
      </c>
      <c r="E18" s="592">
        <f t="shared" si="0"/>
        <v>0</v>
      </c>
      <c r="F18" s="256"/>
      <c r="G18" s="256"/>
      <c r="H18" s="256"/>
      <c r="I18" s="256"/>
    </row>
    <row r="19" spans="1:9" x14ac:dyDescent="0.25">
      <c r="A19" s="863"/>
      <c r="B19" s="866"/>
      <c r="C19" s="187" t="s">
        <v>30</v>
      </c>
      <c r="D19" s="591" t="str">
        <f>IF(E19='Parametre - Agendové IS'!H21,"OK","Chyba počtu podaní")</f>
        <v>Chyba počtu podaní</v>
      </c>
      <c r="E19" s="592">
        <f t="shared" si="0"/>
        <v>0</v>
      </c>
      <c r="F19" s="256"/>
      <c r="G19" s="256"/>
      <c r="H19" s="256"/>
      <c r="I19" s="256"/>
    </row>
    <row r="20" spans="1:9" x14ac:dyDescent="0.25">
      <c r="A20" s="863"/>
      <c r="B20" s="866"/>
      <c r="C20" s="187" t="s">
        <v>31</v>
      </c>
      <c r="D20" s="591" t="str">
        <f>IF(E20='Parametre - Agendové IS'!H22,"OK","Chyba počtu podaní")</f>
        <v>Chyba počtu podaní</v>
      </c>
      <c r="E20" s="592">
        <f t="shared" si="0"/>
        <v>0</v>
      </c>
      <c r="F20" s="256"/>
      <c r="G20" s="256"/>
      <c r="H20" s="256"/>
      <c r="I20" s="256"/>
    </row>
    <row r="21" spans="1:9" x14ac:dyDescent="0.25">
      <c r="A21" s="863"/>
      <c r="B21" s="866"/>
      <c r="C21" s="187" t="s">
        <v>32</v>
      </c>
      <c r="D21" s="591" t="str">
        <f>IF(E21='Parametre - Agendové IS'!H23,"OK","Chyba počtu podaní")</f>
        <v>Chyba počtu podaní</v>
      </c>
      <c r="E21" s="592">
        <f t="shared" si="0"/>
        <v>0</v>
      </c>
      <c r="F21" s="256"/>
      <c r="G21" s="256"/>
      <c r="H21" s="256"/>
      <c r="I21" s="256"/>
    </row>
    <row r="22" spans="1:9" x14ac:dyDescent="0.25">
      <c r="A22" s="863"/>
      <c r="B22" s="866"/>
      <c r="C22" s="187" t="s">
        <v>33</v>
      </c>
      <c r="D22" s="591" t="str">
        <f>IF(E22='Parametre - Agendové IS'!H24,"OK","Chyba počtu podaní")</f>
        <v>Chyba počtu podaní</v>
      </c>
      <c r="E22" s="592">
        <f t="shared" si="0"/>
        <v>0</v>
      </c>
      <c r="F22" s="256"/>
      <c r="G22" s="256"/>
      <c r="H22" s="256"/>
      <c r="I22" s="256"/>
    </row>
    <row r="23" spans="1:9" ht="15.75" thickBot="1" x14ac:dyDescent="0.3">
      <c r="A23" s="864"/>
      <c r="B23" s="867"/>
      <c r="C23" s="188" t="s">
        <v>34</v>
      </c>
      <c r="D23" s="591" t="str">
        <f>IF(E23='Parametre - Agendové IS'!H25,"OK","Chyba počtu podaní")</f>
        <v>Chyba počtu podaní</v>
      </c>
      <c r="E23" s="592">
        <f t="shared" si="0"/>
        <v>0</v>
      </c>
      <c r="F23" s="256"/>
      <c r="G23" s="256"/>
      <c r="H23" s="256"/>
      <c r="I23" s="256"/>
    </row>
    <row r="24" spans="1:9" x14ac:dyDescent="0.25">
      <c r="A24" s="862" t="s">
        <v>39</v>
      </c>
      <c r="B24" s="865" t="s">
        <v>13</v>
      </c>
      <c r="C24" s="190" t="s">
        <v>25</v>
      </c>
      <c r="D24" s="590" t="str">
        <f>IF(E24='Parametre - Agendové IS'!H147,"OK","Chyba")</f>
        <v>OK</v>
      </c>
      <c r="E24" s="595">
        <f t="shared" si="0"/>
        <v>0</v>
      </c>
      <c r="F24" s="255"/>
      <c r="G24" s="255"/>
      <c r="H24" s="255"/>
      <c r="I24" s="255"/>
    </row>
    <row r="25" spans="1:9" x14ac:dyDescent="0.25">
      <c r="A25" s="863"/>
      <c r="B25" s="866"/>
      <c r="C25" s="187" t="s">
        <v>26</v>
      </c>
      <c r="D25" s="591" t="str">
        <f>IF(E25='Parametre - Agendové IS'!H148,"OK","Chyba")</f>
        <v>OK</v>
      </c>
      <c r="E25" s="592">
        <f t="shared" si="0"/>
        <v>0</v>
      </c>
      <c r="F25" s="256"/>
      <c r="G25" s="256"/>
      <c r="H25" s="256"/>
      <c r="I25" s="256"/>
    </row>
    <row r="26" spans="1:9" x14ac:dyDescent="0.25">
      <c r="A26" s="863"/>
      <c r="B26" s="866"/>
      <c r="C26" s="187" t="s">
        <v>27</v>
      </c>
      <c r="D26" s="591" t="str">
        <f>IF(E26='Parametre - Agendové IS'!H149,"OK","Chyba")</f>
        <v>OK</v>
      </c>
      <c r="E26" s="592">
        <f t="shared" si="0"/>
        <v>0</v>
      </c>
      <c r="F26" s="256"/>
      <c r="G26" s="256"/>
      <c r="H26" s="256"/>
      <c r="I26" s="256"/>
    </row>
    <row r="27" spans="1:9" x14ac:dyDescent="0.25">
      <c r="A27" s="863"/>
      <c r="B27" s="866"/>
      <c r="C27" s="187" t="s">
        <v>28</v>
      </c>
      <c r="D27" s="591" t="str">
        <f>IF(E27='Parametre - Agendové IS'!H150,"OK","Chyba")</f>
        <v>OK</v>
      </c>
      <c r="E27" s="592">
        <f t="shared" si="0"/>
        <v>0</v>
      </c>
      <c r="F27" s="256"/>
      <c r="G27" s="256"/>
      <c r="H27" s="256"/>
      <c r="I27" s="256"/>
    </row>
    <row r="28" spans="1:9" x14ac:dyDescent="0.25">
      <c r="A28" s="863"/>
      <c r="B28" s="866"/>
      <c r="C28" s="187" t="s">
        <v>29</v>
      </c>
      <c r="D28" s="591" t="str">
        <f>IF(E28='Parametre - Agendové IS'!H151,"OK","Chyba")</f>
        <v>OK</v>
      </c>
      <c r="E28" s="592">
        <f t="shared" si="0"/>
        <v>0</v>
      </c>
      <c r="F28" s="256"/>
      <c r="G28" s="256"/>
      <c r="H28" s="256"/>
      <c r="I28" s="256"/>
    </row>
    <row r="29" spans="1:9" x14ac:dyDescent="0.25">
      <c r="A29" s="863"/>
      <c r="B29" s="866"/>
      <c r="C29" s="187" t="s">
        <v>30</v>
      </c>
      <c r="D29" s="591" t="str">
        <f>IF(E29='Parametre - Agendové IS'!H152,"OK","Chyba")</f>
        <v>OK</v>
      </c>
      <c r="E29" s="592">
        <f t="shared" si="0"/>
        <v>0</v>
      </c>
      <c r="F29" s="256"/>
      <c r="G29" s="256"/>
      <c r="H29" s="256"/>
      <c r="I29" s="256"/>
    </row>
    <row r="30" spans="1:9" x14ac:dyDescent="0.25">
      <c r="A30" s="863"/>
      <c r="B30" s="866"/>
      <c r="C30" s="187" t="s">
        <v>31</v>
      </c>
      <c r="D30" s="591" t="str">
        <f>IF(E30='Parametre - Agendové IS'!H153,"OK","Chyba")</f>
        <v>OK</v>
      </c>
      <c r="E30" s="592">
        <f t="shared" si="0"/>
        <v>0</v>
      </c>
      <c r="F30" s="256"/>
      <c r="G30" s="256"/>
      <c r="H30" s="256"/>
      <c r="I30" s="256"/>
    </row>
    <row r="31" spans="1:9" x14ac:dyDescent="0.25">
      <c r="A31" s="863"/>
      <c r="B31" s="866"/>
      <c r="C31" s="187" t="s">
        <v>32</v>
      </c>
      <c r="D31" s="591" t="str">
        <f>IF(E31='Parametre - Agendové IS'!H154,"OK","Chyba")</f>
        <v>OK</v>
      </c>
      <c r="E31" s="592">
        <f t="shared" si="0"/>
        <v>0</v>
      </c>
      <c r="F31" s="256"/>
      <c r="G31" s="256"/>
      <c r="H31" s="256"/>
      <c r="I31" s="256"/>
    </row>
    <row r="32" spans="1:9" x14ac:dyDescent="0.25">
      <c r="A32" s="863"/>
      <c r="B32" s="866"/>
      <c r="C32" s="187" t="s">
        <v>33</v>
      </c>
      <c r="D32" s="591" t="str">
        <f>IF(E32='Parametre - Agendové IS'!H155,"OK","Chyba")</f>
        <v>OK</v>
      </c>
      <c r="E32" s="592">
        <f t="shared" si="0"/>
        <v>0</v>
      </c>
      <c r="F32" s="256"/>
      <c r="G32" s="256"/>
      <c r="H32" s="256"/>
      <c r="I32" s="256"/>
    </row>
    <row r="33" spans="1:9" ht="15.75" thickBot="1" x14ac:dyDescent="0.3">
      <c r="A33" s="864"/>
      <c r="B33" s="867"/>
      <c r="C33" s="188" t="s">
        <v>34</v>
      </c>
      <c r="D33" s="591" t="str">
        <f>IF(E33='Parametre - Agendové IS'!H156,"OK","Chyba")</f>
        <v>OK</v>
      </c>
      <c r="E33" s="592">
        <f t="shared" si="0"/>
        <v>0</v>
      </c>
      <c r="F33" s="256"/>
      <c r="G33" s="256"/>
      <c r="H33" s="256"/>
      <c r="I33" s="256"/>
    </row>
    <row r="34" spans="1:9" x14ac:dyDescent="0.25">
      <c r="A34" s="184"/>
      <c r="B34" s="185"/>
      <c r="E34" s="186"/>
    </row>
    <row r="35" spans="1:9" x14ac:dyDescent="0.25">
      <c r="A35" s="184"/>
      <c r="B35" s="185"/>
      <c r="E35" s="186"/>
    </row>
    <row r="36" spans="1:9" ht="15.75" thickBot="1" x14ac:dyDescent="0.3">
      <c r="A36" s="184"/>
      <c r="B36" s="185"/>
      <c r="E36" s="186"/>
    </row>
    <row r="37" spans="1:9" x14ac:dyDescent="0.25">
      <c r="A37" s="868">
        <f>'Parametre - Agendové IS'!J1</f>
        <v>0</v>
      </c>
      <c r="B37" s="869"/>
      <c r="C37" s="870"/>
      <c r="D37" s="874" t="s">
        <v>108</v>
      </c>
      <c r="E37" s="875"/>
      <c r="F37" s="364" t="s">
        <v>167</v>
      </c>
      <c r="G37" s="364" t="s">
        <v>168</v>
      </c>
      <c r="H37" s="364" t="s">
        <v>169</v>
      </c>
      <c r="I37" s="364" t="s">
        <v>171</v>
      </c>
    </row>
    <row r="38" spans="1:9" ht="15.75" thickBot="1" x14ac:dyDescent="0.3">
      <c r="A38" s="871"/>
      <c r="B38" s="872"/>
      <c r="C38" s="873"/>
      <c r="D38" s="587" t="s">
        <v>361</v>
      </c>
      <c r="E38" s="588" t="s">
        <v>170</v>
      </c>
      <c r="F38" s="189" t="s">
        <v>170</v>
      </c>
      <c r="G38" s="189" t="s">
        <v>170</v>
      </c>
      <c r="H38" s="189" t="s">
        <v>170</v>
      </c>
      <c r="I38" s="189" t="s">
        <v>170</v>
      </c>
    </row>
    <row r="39" spans="1:9" x14ac:dyDescent="0.25">
      <c r="A39" s="862" t="s">
        <v>43</v>
      </c>
      <c r="B39" s="865" t="s">
        <v>188</v>
      </c>
      <c r="C39" s="190" t="s">
        <v>25</v>
      </c>
      <c r="D39" s="589" t="str">
        <f>IF(E39='Parametre - Agendové IS'!K107,"OK","Chyba počtu FTE")</f>
        <v>OK</v>
      </c>
      <c r="E39" s="590">
        <f t="shared" ref="E39:E68" si="1">F39+G39+H39+I39</f>
        <v>0</v>
      </c>
      <c r="F39" s="255"/>
      <c r="G39" s="255"/>
      <c r="H39" s="255"/>
      <c r="I39" s="255"/>
    </row>
    <row r="40" spans="1:9" x14ac:dyDescent="0.25">
      <c r="A40" s="863"/>
      <c r="B40" s="866"/>
      <c r="C40" s="187" t="s">
        <v>26</v>
      </c>
      <c r="D40" s="591" t="str">
        <f>IF(E40='Parametre - Agendové IS'!K108,"OK","Chyba počtu FTE")</f>
        <v>OK</v>
      </c>
      <c r="E40" s="592">
        <f t="shared" si="1"/>
        <v>0</v>
      </c>
      <c r="F40" s="256"/>
      <c r="G40" s="256"/>
      <c r="H40" s="256"/>
      <c r="I40" s="256"/>
    </row>
    <row r="41" spans="1:9" x14ac:dyDescent="0.25">
      <c r="A41" s="863"/>
      <c r="B41" s="866"/>
      <c r="C41" s="187" t="s">
        <v>27</v>
      </c>
      <c r="D41" s="591" t="str">
        <f>IF(E41='Parametre - Agendové IS'!K109,"OK","Chyba počtu FTE")</f>
        <v>OK</v>
      </c>
      <c r="E41" s="592">
        <f t="shared" si="1"/>
        <v>0</v>
      </c>
      <c r="F41" s="256"/>
      <c r="G41" s="256"/>
      <c r="H41" s="256"/>
      <c r="I41" s="256"/>
    </row>
    <row r="42" spans="1:9" x14ac:dyDescent="0.25">
      <c r="A42" s="863"/>
      <c r="B42" s="866"/>
      <c r="C42" s="187" t="s">
        <v>28</v>
      </c>
      <c r="D42" s="591" t="str">
        <f>IF(E42='Parametre - Agendové IS'!K110,"OK","Chyba počtu FTE")</f>
        <v>OK</v>
      </c>
      <c r="E42" s="592">
        <f t="shared" si="1"/>
        <v>0</v>
      </c>
      <c r="F42" s="256"/>
      <c r="G42" s="256"/>
      <c r="H42" s="256"/>
      <c r="I42" s="256"/>
    </row>
    <row r="43" spans="1:9" x14ac:dyDescent="0.25">
      <c r="A43" s="863"/>
      <c r="B43" s="866"/>
      <c r="C43" s="187" t="s">
        <v>29</v>
      </c>
      <c r="D43" s="591" t="str">
        <f>IF(E43='Parametre - Agendové IS'!K111,"OK","Chyba počtu FTE")</f>
        <v>OK</v>
      </c>
      <c r="E43" s="592">
        <f t="shared" si="1"/>
        <v>0</v>
      </c>
      <c r="F43" s="256"/>
      <c r="G43" s="256"/>
      <c r="H43" s="256"/>
      <c r="I43" s="256"/>
    </row>
    <row r="44" spans="1:9" ht="15" customHeight="1" x14ac:dyDescent="0.25">
      <c r="A44" s="863"/>
      <c r="B44" s="866"/>
      <c r="C44" s="187" t="s">
        <v>30</v>
      </c>
      <c r="D44" s="591" t="str">
        <f>IF(E44='Parametre - Agendové IS'!K112,"OK","Chyba počtu FTE")</f>
        <v>OK</v>
      </c>
      <c r="E44" s="592">
        <f t="shared" si="1"/>
        <v>0</v>
      </c>
      <c r="F44" s="256"/>
      <c r="G44" s="256"/>
      <c r="H44" s="256"/>
      <c r="I44" s="256"/>
    </row>
    <row r="45" spans="1:9" x14ac:dyDescent="0.25">
      <c r="A45" s="863"/>
      <c r="B45" s="866"/>
      <c r="C45" s="187" t="s">
        <v>31</v>
      </c>
      <c r="D45" s="591" t="str">
        <f>IF(E45='Parametre - Agendové IS'!K113,"OK","Chyba počtu FTE")</f>
        <v>OK</v>
      </c>
      <c r="E45" s="592">
        <f t="shared" si="1"/>
        <v>0</v>
      </c>
      <c r="F45" s="256"/>
      <c r="G45" s="256"/>
      <c r="H45" s="256"/>
      <c r="I45" s="256"/>
    </row>
    <row r="46" spans="1:9" x14ac:dyDescent="0.25">
      <c r="A46" s="863"/>
      <c r="B46" s="866"/>
      <c r="C46" s="187" t="s">
        <v>32</v>
      </c>
      <c r="D46" s="591" t="str">
        <f>IF(E46='Parametre - Agendové IS'!K114,"OK","Chyba počtu FTE")</f>
        <v>OK</v>
      </c>
      <c r="E46" s="592">
        <f t="shared" si="1"/>
        <v>0</v>
      </c>
      <c r="F46" s="256"/>
      <c r="G46" s="256"/>
      <c r="H46" s="256"/>
      <c r="I46" s="256"/>
    </row>
    <row r="47" spans="1:9" x14ac:dyDescent="0.25">
      <c r="A47" s="863"/>
      <c r="B47" s="866"/>
      <c r="C47" s="187" t="s">
        <v>33</v>
      </c>
      <c r="D47" s="591" t="str">
        <f>IF(E47='Parametre - Agendové IS'!K115,"OK","Chyba počtu FTE")</f>
        <v>OK</v>
      </c>
      <c r="E47" s="592">
        <f t="shared" si="1"/>
        <v>0</v>
      </c>
      <c r="F47" s="256"/>
      <c r="G47" s="256"/>
      <c r="H47" s="256"/>
      <c r="I47" s="256"/>
    </row>
    <row r="48" spans="1:9" ht="15.75" thickBot="1" x14ac:dyDescent="0.3">
      <c r="A48" s="863"/>
      <c r="B48" s="866"/>
      <c r="C48" s="187" t="s">
        <v>34</v>
      </c>
      <c r="D48" s="593" t="str">
        <f>IF(E48='Parametre - Agendové IS'!K116,"OK","Chyba počtu FTE")</f>
        <v>OK</v>
      </c>
      <c r="E48" s="594">
        <f t="shared" si="1"/>
        <v>0</v>
      </c>
      <c r="F48" s="257"/>
      <c r="G48" s="257"/>
      <c r="H48" s="257"/>
      <c r="I48" s="257"/>
    </row>
    <row r="49" spans="1:9" x14ac:dyDescent="0.25">
      <c r="A49" s="862" t="s">
        <v>41</v>
      </c>
      <c r="B49" s="865" t="s">
        <v>37</v>
      </c>
      <c r="C49" s="190" t="s">
        <v>25</v>
      </c>
      <c r="D49" s="590" t="str">
        <f>IF(E49='Parametre - Agendové IS'!K16,"OK","Chyba počtu podaní")</f>
        <v>OK</v>
      </c>
      <c r="E49" s="595">
        <f t="shared" si="1"/>
        <v>0</v>
      </c>
      <c r="F49" s="255"/>
      <c r="G49" s="255"/>
      <c r="H49" s="255"/>
      <c r="I49" s="255"/>
    </row>
    <row r="50" spans="1:9" x14ac:dyDescent="0.25">
      <c r="A50" s="863"/>
      <c r="B50" s="866"/>
      <c r="C50" s="187" t="s">
        <v>26</v>
      </c>
      <c r="D50" s="591" t="str">
        <f>IF(E50='Parametre - Agendové IS'!K17,"OK","Chyba počtu podaní")</f>
        <v>OK</v>
      </c>
      <c r="E50" s="592">
        <f t="shared" si="1"/>
        <v>0</v>
      </c>
      <c r="F50" s="256"/>
      <c r="G50" s="256"/>
      <c r="H50" s="256"/>
      <c r="I50" s="256"/>
    </row>
    <row r="51" spans="1:9" x14ac:dyDescent="0.25">
      <c r="A51" s="863"/>
      <c r="B51" s="866"/>
      <c r="C51" s="187" t="s">
        <v>27</v>
      </c>
      <c r="D51" s="591" t="str">
        <f>IF(E51='Parametre - Agendové IS'!K18,"OK","Chyba počtu podaní")</f>
        <v>OK</v>
      </c>
      <c r="E51" s="592">
        <f t="shared" si="1"/>
        <v>0</v>
      </c>
      <c r="F51" s="256"/>
      <c r="G51" s="256"/>
      <c r="H51" s="256"/>
      <c r="I51" s="256"/>
    </row>
    <row r="52" spans="1:9" x14ac:dyDescent="0.25">
      <c r="A52" s="863"/>
      <c r="B52" s="866"/>
      <c r="C52" s="187" t="s">
        <v>28</v>
      </c>
      <c r="D52" s="591" t="str">
        <f>IF(E52='Parametre - Agendové IS'!K19,"OK","Chyba počtu podaní")</f>
        <v>OK</v>
      </c>
      <c r="E52" s="592">
        <f t="shared" si="1"/>
        <v>0</v>
      </c>
      <c r="F52" s="256"/>
      <c r="G52" s="256"/>
      <c r="H52" s="256"/>
      <c r="I52" s="256"/>
    </row>
    <row r="53" spans="1:9" x14ac:dyDescent="0.25">
      <c r="A53" s="863"/>
      <c r="B53" s="866"/>
      <c r="C53" s="187" t="s">
        <v>29</v>
      </c>
      <c r="D53" s="591" t="str">
        <f>IF(E53='Parametre - Agendové IS'!K20,"OK","Chyba počtu podaní")</f>
        <v>OK</v>
      </c>
      <c r="E53" s="592">
        <f t="shared" si="1"/>
        <v>0</v>
      </c>
      <c r="F53" s="256"/>
      <c r="G53" s="256"/>
      <c r="H53" s="256"/>
      <c r="I53" s="256"/>
    </row>
    <row r="54" spans="1:9" x14ac:dyDescent="0.25">
      <c r="A54" s="863"/>
      <c r="B54" s="866"/>
      <c r="C54" s="187" t="s">
        <v>30</v>
      </c>
      <c r="D54" s="591" t="str">
        <f>IF(E54='Parametre - Agendové IS'!K21,"OK","Chyba počtu podaní")</f>
        <v>OK</v>
      </c>
      <c r="E54" s="592">
        <f t="shared" si="1"/>
        <v>0</v>
      </c>
      <c r="F54" s="256"/>
      <c r="G54" s="256"/>
      <c r="H54" s="256"/>
      <c r="I54" s="256"/>
    </row>
    <row r="55" spans="1:9" x14ac:dyDescent="0.25">
      <c r="A55" s="863"/>
      <c r="B55" s="866"/>
      <c r="C55" s="187" t="s">
        <v>31</v>
      </c>
      <c r="D55" s="591" t="str">
        <f>IF(E55='Parametre - Agendové IS'!K22,"OK","Chyba počtu podaní")</f>
        <v>OK</v>
      </c>
      <c r="E55" s="592">
        <f t="shared" si="1"/>
        <v>0</v>
      </c>
      <c r="F55" s="256"/>
      <c r="G55" s="256"/>
      <c r="H55" s="256"/>
      <c r="I55" s="256"/>
    </row>
    <row r="56" spans="1:9" x14ac:dyDescent="0.25">
      <c r="A56" s="863"/>
      <c r="B56" s="866"/>
      <c r="C56" s="187" t="s">
        <v>32</v>
      </c>
      <c r="D56" s="591" t="str">
        <f>IF(E56='Parametre - Agendové IS'!K23,"OK","Chyba počtu podaní")</f>
        <v>OK</v>
      </c>
      <c r="E56" s="592">
        <f t="shared" si="1"/>
        <v>0</v>
      </c>
      <c r="F56" s="256"/>
      <c r="G56" s="256"/>
      <c r="H56" s="256"/>
      <c r="I56" s="256"/>
    </row>
    <row r="57" spans="1:9" x14ac:dyDescent="0.25">
      <c r="A57" s="863"/>
      <c r="B57" s="866"/>
      <c r="C57" s="187" t="s">
        <v>33</v>
      </c>
      <c r="D57" s="591" t="str">
        <f>IF(E57='Parametre - Agendové IS'!K24,"OK","Chyba počtu podaní")</f>
        <v>OK</v>
      </c>
      <c r="E57" s="592">
        <f t="shared" si="1"/>
        <v>0</v>
      </c>
      <c r="F57" s="256"/>
      <c r="G57" s="256"/>
      <c r="H57" s="256"/>
      <c r="I57" s="256"/>
    </row>
    <row r="58" spans="1:9" ht="15.75" thickBot="1" x14ac:dyDescent="0.3">
      <c r="A58" s="864"/>
      <c r="B58" s="867"/>
      <c r="C58" s="188" t="s">
        <v>34</v>
      </c>
      <c r="D58" s="591" t="str">
        <f>IF(E58='Parametre - Agendové IS'!K25,"OK","Chyba počtu podaní")</f>
        <v>OK</v>
      </c>
      <c r="E58" s="592">
        <f t="shared" si="1"/>
        <v>0</v>
      </c>
      <c r="F58" s="256"/>
      <c r="G58" s="256"/>
      <c r="H58" s="256"/>
      <c r="I58" s="256"/>
    </row>
    <row r="59" spans="1:9" x14ac:dyDescent="0.25">
      <c r="A59" s="862" t="s">
        <v>39</v>
      </c>
      <c r="B59" s="865" t="s">
        <v>13</v>
      </c>
      <c r="C59" s="190" t="s">
        <v>25</v>
      </c>
      <c r="D59" s="590" t="str">
        <f>IF(E59='Parametre - Agendové IS'!K147,"OK","Chyba")</f>
        <v>OK</v>
      </c>
      <c r="E59" s="595">
        <f t="shared" si="1"/>
        <v>0</v>
      </c>
      <c r="F59" s="255"/>
      <c r="G59" s="255"/>
      <c r="H59" s="255"/>
      <c r="I59" s="255"/>
    </row>
    <row r="60" spans="1:9" x14ac:dyDescent="0.25">
      <c r="A60" s="863"/>
      <c r="B60" s="866"/>
      <c r="C60" s="187" t="s">
        <v>26</v>
      </c>
      <c r="D60" s="591" t="str">
        <f>IF(E60='Parametre - Agendové IS'!K148,"OK","Chyba")</f>
        <v>OK</v>
      </c>
      <c r="E60" s="592">
        <f t="shared" si="1"/>
        <v>0</v>
      </c>
      <c r="F60" s="256"/>
      <c r="G60" s="256"/>
      <c r="H60" s="256"/>
      <c r="I60" s="256"/>
    </row>
    <row r="61" spans="1:9" x14ac:dyDescent="0.25">
      <c r="A61" s="863"/>
      <c r="B61" s="866"/>
      <c r="C61" s="187" t="s">
        <v>27</v>
      </c>
      <c r="D61" s="591" t="str">
        <f>IF(E61='Parametre - Agendové IS'!K149,"OK","Chyba")</f>
        <v>OK</v>
      </c>
      <c r="E61" s="592">
        <f t="shared" si="1"/>
        <v>0</v>
      </c>
      <c r="F61" s="256"/>
      <c r="G61" s="256"/>
      <c r="H61" s="256"/>
      <c r="I61" s="256"/>
    </row>
    <row r="62" spans="1:9" x14ac:dyDescent="0.25">
      <c r="A62" s="863"/>
      <c r="B62" s="866"/>
      <c r="C62" s="187" t="s">
        <v>28</v>
      </c>
      <c r="D62" s="591" t="str">
        <f>IF(E62='Parametre - Agendové IS'!K150,"OK","Chyba")</f>
        <v>OK</v>
      </c>
      <c r="E62" s="592">
        <f t="shared" si="1"/>
        <v>0</v>
      </c>
      <c r="F62" s="256"/>
      <c r="G62" s="256"/>
      <c r="H62" s="256"/>
      <c r="I62" s="256"/>
    </row>
    <row r="63" spans="1:9" x14ac:dyDescent="0.25">
      <c r="A63" s="863"/>
      <c r="B63" s="866"/>
      <c r="C63" s="187" t="s">
        <v>29</v>
      </c>
      <c r="D63" s="591" t="str">
        <f>IF(E63='Parametre - Agendové IS'!K151,"OK","Chyba")</f>
        <v>OK</v>
      </c>
      <c r="E63" s="592">
        <f t="shared" si="1"/>
        <v>0</v>
      </c>
      <c r="F63" s="256"/>
      <c r="G63" s="256"/>
      <c r="H63" s="256"/>
      <c r="I63" s="256"/>
    </row>
    <row r="64" spans="1:9" x14ac:dyDescent="0.25">
      <c r="A64" s="863"/>
      <c r="B64" s="866"/>
      <c r="C64" s="187" t="s">
        <v>30</v>
      </c>
      <c r="D64" s="591" t="str">
        <f>IF(E64='Parametre - Agendové IS'!K152,"OK","Chyba")</f>
        <v>OK</v>
      </c>
      <c r="E64" s="592">
        <f t="shared" si="1"/>
        <v>0</v>
      </c>
      <c r="F64" s="256"/>
      <c r="G64" s="256"/>
      <c r="H64" s="256"/>
      <c r="I64" s="256"/>
    </row>
    <row r="65" spans="1:9" x14ac:dyDescent="0.25">
      <c r="A65" s="863"/>
      <c r="B65" s="866"/>
      <c r="C65" s="187" t="s">
        <v>31</v>
      </c>
      <c r="D65" s="591" t="str">
        <f>IF(E65='Parametre - Agendové IS'!K153,"OK","Chyba")</f>
        <v>OK</v>
      </c>
      <c r="E65" s="592">
        <f t="shared" si="1"/>
        <v>0</v>
      </c>
      <c r="F65" s="256"/>
      <c r="G65" s="256"/>
      <c r="H65" s="256"/>
      <c r="I65" s="256"/>
    </row>
    <row r="66" spans="1:9" x14ac:dyDescent="0.25">
      <c r="A66" s="863"/>
      <c r="B66" s="866"/>
      <c r="C66" s="187" t="s">
        <v>32</v>
      </c>
      <c r="D66" s="591" t="str">
        <f>IF(E66='Parametre - Agendové IS'!K154,"OK","Chyba")</f>
        <v>OK</v>
      </c>
      <c r="E66" s="592">
        <f t="shared" si="1"/>
        <v>0</v>
      </c>
      <c r="F66" s="256"/>
      <c r="G66" s="256"/>
      <c r="H66" s="256"/>
      <c r="I66" s="256"/>
    </row>
    <row r="67" spans="1:9" x14ac:dyDescent="0.25">
      <c r="A67" s="863"/>
      <c r="B67" s="866"/>
      <c r="C67" s="187" t="s">
        <v>33</v>
      </c>
      <c r="D67" s="591" t="str">
        <f>IF(E67='Parametre - Agendové IS'!K155,"OK","Chyba")</f>
        <v>OK</v>
      </c>
      <c r="E67" s="592">
        <f t="shared" si="1"/>
        <v>0</v>
      </c>
      <c r="F67" s="256"/>
      <c r="G67" s="256"/>
      <c r="H67" s="256"/>
      <c r="I67" s="256"/>
    </row>
    <row r="68" spans="1:9" ht="15.75" thickBot="1" x14ac:dyDescent="0.3">
      <c r="A68" s="864"/>
      <c r="B68" s="867"/>
      <c r="C68" s="188" t="s">
        <v>34</v>
      </c>
      <c r="D68" s="591" t="str">
        <f>IF(E68='Parametre - Agendové IS'!K156,"OK","Chyba")</f>
        <v>OK</v>
      </c>
      <c r="E68" s="592">
        <f t="shared" si="1"/>
        <v>0</v>
      </c>
      <c r="F68" s="256"/>
      <c r="G68" s="256"/>
      <c r="H68" s="256"/>
      <c r="I68" s="256"/>
    </row>
    <row r="71" spans="1:9" ht="15.75" thickBot="1" x14ac:dyDescent="0.3"/>
    <row r="72" spans="1:9" x14ac:dyDescent="0.25">
      <c r="A72" s="868">
        <f>'Parametre - Agendové IS'!M1</f>
        <v>0</v>
      </c>
      <c r="B72" s="869"/>
      <c r="C72" s="870"/>
      <c r="D72" s="874" t="s">
        <v>108</v>
      </c>
      <c r="E72" s="875"/>
      <c r="F72" s="364" t="s">
        <v>167</v>
      </c>
      <c r="G72" s="364" t="s">
        <v>168</v>
      </c>
      <c r="H72" s="364" t="s">
        <v>169</v>
      </c>
      <c r="I72" s="364" t="s">
        <v>171</v>
      </c>
    </row>
    <row r="73" spans="1:9" ht="15.75" thickBot="1" x14ac:dyDescent="0.3">
      <c r="A73" s="871"/>
      <c r="B73" s="872"/>
      <c r="C73" s="873"/>
      <c r="D73" s="587" t="s">
        <v>361</v>
      </c>
      <c r="E73" s="588" t="s">
        <v>170</v>
      </c>
      <c r="F73" s="189" t="s">
        <v>170</v>
      </c>
      <c r="G73" s="189" t="s">
        <v>170</v>
      </c>
      <c r="H73" s="189" t="s">
        <v>170</v>
      </c>
      <c r="I73" s="189" t="s">
        <v>170</v>
      </c>
    </row>
    <row r="74" spans="1:9" x14ac:dyDescent="0.25">
      <c r="A74" s="862" t="s">
        <v>43</v>
      </c>
      <c r="B74" s="865" t="s">
        <v>188</v>
      </c>
      <c r="C74" s="190" t="s">
        <v>25</v>
      </c>
      <c r="D74" s="589" t="str">
        <f>IF(E74='Parametre - Agendové IS'!N107,"OK","Chyba počtu FTE")</f>
        <v>OK</v>
      </c>
      <c r="E74" s="590">
        <f t="shared" ref="E74:E103" si="2">F74+G74+H74+I74</f>
        <v>0</v>
      </c>
      <c r="F74" s="255"/>
      <c r="G74" s="255"/>
      <c r="H74" s="255"/>
      <c r="I74" s="255"/>
    </row>
    <row r="75" spans="1:9" x14ac:dyDescent="0.25">
      <c r="A75" s="863"/>
      <c r="B75" s="866"/>
      <c r="C75" s="187" t="s">
        <v>26</v>
      </c>
      <c r="D75" s="591" t="str">
        <f>IF(E75='Parametre - Agendové IS'!N108,"OK","Chyba počtu FTE")</f>
        <v>OK</v>
      </c>
      <c r="E75" s="592">
        <f t="shared" si="2"/>
        <v>0</v>
      </c>
      <c r="F75" s="256"/>
      <c r="G75" s="256"/>
      <c r="H75" s="256"/>
      <c r="I75" s="256"/>
    </row>
    <row r="76" spans="1:9" x14ac:dyDescent="0.25">
      <c r="A76" s="863"/>
      <c r="B76" s="866"/>
      <c r="C76" s="187" t="s">
        <v>27</v>
      </c>
      <c r="D76" s="591" t="str">
        <f>IF(E76='Parametre - Agendové IS'!N109,"OK","Chyba počtu FTE")</f>
        <v>OK</v>
      </c>
      <c r="E76" s="592">
        <f t="shared" si="2"/>
        <v>0</v>
      </c>
      <c r="F76" s="256"/>
      <c r="G76" s="256"/>
      <c r="H76" s="256"/>
      <c r="I76" s="256"/>
    </row>
    <row r="77" spans="1:9" x14ac:dyDescent="0.25">
      <c r="A77" s="863"/>
      <c r="B77" s="866"/>
      <c r="C77" s="187" t="s">
        <v>28</v>
      </c>
      <c r="D77" s="591" t="str">
        <f>IF(E77='Parametre - Agendové IS'!N110,"OK","Chyba počtu FTE")</f>
        <v>OK</v>
      </c>
      <c r="E77" s="592">
        <f t="shared" si="2"/>
        <v>0</v>
      </c>
      <c r="F77" s="256"/>
      <c r="G77" s="256"/>
      <c r="H77" s="256"/>
      <c r="I77" s="256"/>
    </row>
    <row r="78" spans="1:9" x14ac:dyDescent="0.25">
      <c r="A78" s="863"/>
      <c r="B78" s="866"/>
      <c r="C78" s="187" t="s">
        <v>29</v>
      </c>
      <c r="D78" s="591" t="str">
        <f>IF(E78='Parametre - Agendové IS'!N111,"OK","Chyba počtu FTE")</f>
        <v>OK</v>
      </c>
      <c r="E78" s="592">
        <f t="shared" si="2"/>
        <v>0</v>
      </c>
      <c r="F78" s="256"/>
      <c r="G78" s="256"/>
      <c r="H78" s="256"/>
      <c r="I78" s="256"/>
    </row>
    <row r="79" spans="1:9" x14ac:dyDescent="0.25">
      <c r="A79" s="863"/>
      <c r="B79" s="866"/>
      <c r="C79" s="187" t="s">
        <v>30</v>
      </c>
      <c r="D79" s="591" t="str">
        <f>IF(E79='Parametre - Agendové IS'!N112,"OK","Chyba počtu FTE")</f>
        <v>OK</v>
      </c>
      <c r="E79" s="592">
        <f t="shared" si="2"/>
        <v>0</v>
      </c>
      <c r="F79" s="256"/>
      <c r="G79" s="256"/>
      <c r="H79" s="256"/>
      <c r="I79" s="256"/>
    </row>
    <row r="80" spans="1:9" x14ac:dyDescent="0.25">
      <c r="A80" s="863"/>
      <c r="B80" s="866"/>
      <c r="C80" s="187" t="s">
        <v>31</v>
      </c>
      <c r="D80" s="591" t="str">
        <f>IF(E80='Parametre - Agendové IS'!N113,"OK","Chyba počtu FTE")</f>
        <v>OK</v>
      </c>
      <c r="E80" s="592">
        <f t="shared" si="2"/>
        <v>0</v>
      </c>
      <c r="F80" s="256"/>
      <c r="G80" s="256"/>
      <c r="H80" s="256"/>
      <c r="I80" s="256"/>
    </row>
    <row r="81" spans="1:9" x14ac:dyDescent="0.25">
      <c r="A81" s="863"/>
      <c r="B81" s="866"/>
      <c r="C81" s="187" t="s">
        <v>32</v>
      </c>
      <c r="D81" s="591" t="str">
        <f>IF(E81='Parametre - Agendové IS'!N114,"OK","Chyba počtu FTE")</f>
        <v>OK</v>
      </c>
      <c r="E81" s="592">
        <f t="shared" si="2"/>
        <v>0</v>
      </c>
      <c r="F81" s="256"/>
      <c r="G81" s="256"/>
      <c r="H81" s="256"/>
      <c r="I81" s="256"/>
    </row>
    <row r="82" spans="1:9" x14ac:dyDescent="0.25">
      <c r="A82" s="863"/>
      <c r="B82" s="866"/>
      <c r="C82" s="187" t="s">
        <v>33</v>
      </c>
      <c r="D82" s="591" t="str">
        <f>IF(E82='Parametre - Agendové IS'!N115,"OK","Chyba počtu FTE")</f>
        <v>OK</v>
      </c>
      <c r="E82" s="592">
        <f t="shared" si="2"/>
        <v>0</v>
      </c>
      <c r="F82" s="256"/>
      <c r="G82" s="256"/>
      <c r="H82" s="256"/>
      <c r="I82" s="256"/>
    </row>
    <row r="83" spans="1:9" ht="15.75" thickBot="1" x14ac:dyDescent="0.3">
      <c r="A83" s="863"/>
      <c r="B83" s="866"/>
      <c r="C83" s="187" t="s">
        <v>34</v>
      </c>
      <c r="D83" s="593" t="str">
        <f>IF(E83='Parametre - Agendové IS'!N116,"OK","Chyba počtu FTE")</f>
        <v>OK</v>
      </c>
      <c r="E83" s="594">
        <f t="shared" si="2"/>
        <v>0</v>
      </c>
      <c r="F83" s="257"/>
      <c r="G83" s="257"/>
      <c r="H83" s="257"/>
      <c r="I83" s="257"/>
    </row>
    <row r="84" spans="1:9" x14ac:dyDescent="0.25">
      <c r="A84" s="862" t="s">
        <v>41</v>
      </c>
      <c r="B84" s="865" t="s">
        <v>37</v>
      </c>
      <c r="C84" s="190" t="s">
        <v>25</v>
      </c>
      <c r="D84" s="590" t="str">
        <f>IF(E84='Parametre - Agendové IS'!N16,"OK","Chyba počtu podaní")</f>
        <v>OK</v>
      </c>
      <c r="E84" s="595">
        <f t="shared" si="2"/>
        <v>0</v>
      </c>
      <c r="F84" s="255"/>
      <c r="G84" s="255"/>
      <c r="H84" s="255"/>
      <c r="I84" s="255"/>
    </row>
    <row r="85" spans="1:9" x14ac:dyDescent="0.25">
      <c r="A85" s="863"/>
      <c r="B85" s="866"/>
      <c r="C85" s="187" t="s">
        <v>26</v>
      </c>
      <c r="D85" s="591" t="str">
        <f>IF(E85='Parametre - Agendové IS'!N17,"OK","Chyba počtu podaní")</f>
        <v>OK</v>
      </c>
      <c r="E85" s="592">
        <f t="shared" si="2"/>
        <v>0</v>
      </c>
      <c r="F85" s="256"/>
      <c r="G85" s="256"/>
      <c r="H85" s="256"/>
      <c r="I85" s="256"/>
    </row>
    <row r="86" spans="1:9" x14ac:dyDescent="0.25">
      <c r="A86" s="863"/>
      <c r="B86" s="866"/>
      <c r="C86" s="187" t="s">
        <v>27</v>
      </c>
      <c r="D86" s="591" t="str">
        <f>IF(E86='Parametre - Agendové IS'!N18,"OK","Chyba počtu podaní")</f>
        <v>OK</v>
      </c>
      <c r="E86" s="592">
        <f t="shared" si="2"/>
        <v>0</v>
      </c>
      <c r="F86" s="256"/>
      <c r="G86" s="256"/>
      <c r="H86" s="256"/>
      <c r="I86" s="256"/>
    </row>
    <row r="87" spans="1:9" x14ac:dyDescent="0.25">
      <c r="A87" s="863"/>
      <c r="B87" s="866"/>
      <c r="C87" s="187" t="s">
        <v>28</v>
      </c>
      <c r="D87" s="591" t="str">
        <f>IF(E87='Parametre - Agendové IS'!N19,"OK","Chyba počtu podaní")</f>
        <v>OK</v>
      </c>
      <c r="E87" s="592">
        <f t="shared" si="2"/>
        <v>0</v>
      </c>
      <c r="F87" s="256"/>
      <c r="G87" s="256"/>
      <c r="H87" s="256"/>
      <c r="I87" s="256"/>
    </row>
    <row r="88" spans="1:9" x14ac:dyDescent="0.25">
      <c r="A88" s="863"/>
      <c r="B88" s="866"/>
      <c r="C88" s="187" t="s">
        <v>29</v>
      </c>
      <c r="D88" s="591" t="str">
        <f>IF(E88='Parametre - Agendové IS'!N20,"OK","Chyba počtu podaní")</f>
        <v>OK</v>
      </c>
      <c r="E88" s="592">
        <f t="shared" si="2"/>
        <v>0</v>
      </c>
      <c r="F88" s="256"/>
      <c r="G88" s="256"/>
      <c r="H88" s="256"/>
      <c r="I88" s="256"/>
    </row>
    <row r="89" spans="1:9" x14ac:dyDescent="0.25">
      <c r="A89" s="863"/>
      <c r="B89" s="866"/>
      <c r="C89" s="187" t="s">
        <v>30</v>
      </c>
      <c r="D89" s="591" t="str">
        <f>IF(E89='Parametre - Agendové IS'!N21,"OK","Chyba počtu podaní")</f>
        <v>OK</v>
      </c>
      <c r="E89" s="592">
        <f t="shared" si="2"/>
        <v>0</v>
      </c>
      <c r="F89" s="256"/>
      <c r="G89" s="256"/>
      <c r="H89" s="256"/>
      <c r="I89" s="256"/>
    </row>
    <row r="90" spans="1:9" x14ac:dyDescent="0.25">
      <c r="A90" s="863"/>
      <c r="B90" s="866"/>
      <c r="C90" s="187" t="s">
        <v>31</v>
      </c>
      <c r="D90" s="591" t="str">
        <f>IF(E90='Parametre - Agendové IS'!N22,"OK","Chyba počtu podaní")</f>
        <v>OK</v>
      </c>
      <c r="E90" s="592">
        <f t="shared" si="2"/>
        <v>0</v>
      </c>
      <c r="F90" s="256"/>
      <c r="G90" s="256"/>
      <c r="H90" s="256"/>
      <c r="I90" s="256"/>
    </row>
    <row r="91" spans="1:9" x14ac:dyDescent="0.25">
      <c r="A91" s="863"/>
      <c r="B91" s="866"/>
      <c r="C91" s="187" t="s">
        <v>32</v>
      </c>
      <c r="D91" s="591" t="str">
        <f>IF(E91='Parametre - Agendové IS'!N23,"OK","Chyba počtu podaní")</f>
        <v>OK</v>
      </c>
      <c r="E91" s="592">
        <f t="shared" si="2"/>
        <v>0</v>
      </c>
      <c r="F91" s="256"/>
      <c r="G91" s="256"/>
      <c r="H91" s="256"/>
      <c r="I91" s="256"/>
    </row>
    <row r="92" spans="1:9" x14ac:dyDescent="0.25">
      <c r="A92" s="863"/>
      <c r="B92" s="866"/>
      <c r="C92" s="187" t="s">
        <v>33</v>
      </c>
      <c r="D92" s="591" t="str">
        <f>IF(E92='Parametre - Agendové IS'!N24,"OK","Chyba počtu podaní")</f>
        <v>OK</v>
      </c>
      <c r="E92" s="592">
        <f t="shared" si="2"/>
        <v>0</v>
      </c>
      <c r="F92" s="256"/>
      <c r="G92" s="256"/>
      <c r="H92" s="256"/>
      <c r="I92" s="256"/>
    </row>
    <row r="93" spans="1:9" ht="15.75" thickBot="1" x14ac:dyDescent="0.3">
      <c r="A93" s="864"/>
      <c r="B93" s="867"/>
      <c r="C93" s="188" t="s">
        <v>34</v>
      </c>
      <c r="D93" s="591" t="str">
        <f>IF(E93='Parametre - Agendové IS'!N25,"OK","Chyba počtu podaní")</f>
        <v>OK</v>
      </c>
      <c r="E93" s="592">
        <f t="shared" si="2"/>
        <v>0</v>
      </c>
      <c r="F93" s="256"/>
      <c r="G93" s="256"/>
      <c r="H93" s="256"/>
      <c r="I93" s="256"/>
    </row>
    <row r="94" spans="1:9" x14ac:dyDescent="0.25">
      <c r="A94" s="862" t="s">
        <v>39</v>
      </c>
      <c r="B94" s="865" t="s">
        <v>13</v>
      </c>
      <c r="C94" s="190" t="s">
        <v>25</v>
      </c>
      <c r="D94" s="590" t="str">
        <f>IF(E94='Parametre - Agendové IS'!N147,"OK","Chyba")</f>
        <v>OK</v>
      </c>
      <c r="E94" s="595">
        <f t="shared" si="2"/>
        <v>0</v>
      </c>
      <c r="F94" s="255"/>
      <c r="G94" s="255"/>
      <c r="H94" s="255"/>
      <c r="I94" s="255"/>
    </row>
    <row r="95" spans="1:9" x14ac:dyDescent="0.25">
      <c r="A95" s="863"/>
      <c r="B95" s="866"/>
      <c r="C95" s="187" t="s">
        <v>26</v>
      </c>
      <c r="D95" s="591" t="str">
        <f>IF(E95='Parametre - Agendové IS'!N148,"OK","Chyba")</f>
        <v>OK</v>
      </c>
      <c r="E95" s="592">
        <f t="shared" si="2"/>
        <v>0</v>
      </c>
      <c r="F95" s="256"/>
      <c r="G95" s="256"/>
      <c r="H95" s="256"/>
      <c r="I95" s="256"/>
    </row>
    <row r="96" spans="1:9" x14ac:dyDescent="0.25">
      <c r="A96" s="863"/>
      <c r="B96" s="866"/>
      <c r="C96" s="187" t="s">
        <v>27</v>
      </c>
      <c r="D96" s="591" t="str">
        <f>IF(E96='Parametre - Agendové IS'!N149,"OK","Chyba")</f>
        <v>OK</v>
      </c>
      <c r="E96" s="592">
        <f t="shared" si="2"/>
        <v>0</v>
      </c>
      <c r="F96" s="256"/>
      <c r="G96" s="256"/>
      <c r="H96" s="256"/>
      <c r="I96" s="256"/>
    </row>
    <row r="97" spans="1:9" x14ac:dyDescent="0.25">
      <c r="A97" s="863"/>
      <c r="B97" s="866"/>
      <c r="C97" s="187" t="s">
        <v>28</v>
      </c>
      <c r="D97" s="591" t="str">
        <f>IF(E97='Parametre - Agendové IS'!N150,"OK","Chyba")</f>
        <v>OK</v>
      </c>
      <c r="E97" s="592">
        <f t="shared" si="2"/>
        <v>0</v>
      </c>
      <c r="F97" s="256"/>
      <c r="G97" s="256"/>
      <c r="H97" s="256"/>
      <c r="I97" s="256"/>
    </row>
    <row r="98" spans="1:9" x14ac:dyDescent="0.25">
      <c r="A98" s="863"/>
      <c r="B98" s="866"/>
      <c r="C98" s="187" t="s">
        <v>29</v>
      </c>
      <c r="D98" s="591" t="str">
        <f>IF(E98='Parametre - Agendové IS'!N151,"OK","Chyba")</f>
        <v>OK</v>
      </c>
      <c r="E98" s="592">
        <f t="shared" si="2"/>
        <v>0</v>
      </c>
      <c r="F98" s="256"/>
      <c r="G98" s="256"/>
      <c r="H98" s="256"/>
      <c r="I98" s="256"/>
    </row>
    <row r="99" spans="1:9" x14ac:dyDescent="0.25">
      <c r="A99" s="863"/>
      <c r="B99" s="866"/>
      <c r="C99" s="187" t="s">
        <v>30</v>
      </c>
      <c r="D99" s="591" t="str">
        <f>IF(E99='Parametre - Agendové IS'!N152,"OK","Chyba")</f>
        <v>OK</v>
      </c>
      <c r="E99" s="592">
        <f t="shared" si="2"/>
        <v>0</v>
      </c>
      <c r="F99" s="256"/>
      <c r="G99" s="256"/>
      <c r="H99" s="256"/>
      <c r="I99" s="256"/>
    </row>
    <row r="100" spans="1:9" x14ac:dyDescent="0.25">
      <c r="A100" s="863"/>
      <c r="B100" s="866"/>
      <c r="C100" s="187" t="s">
        <v>31</v>
      </c>
      <c r="D100" s="591" t="str">
        <f>IF(E100='Parametre - Agendové IS'!N153,"OK","Chyba")</f>
        <v>OK</v>
      </c>
      <c r="E100" s="592">
        <f t="shared" si="2"/>
        <v>0</v>
      </c>
      <c r="F100" s="256"/>
      <c r="G100" s="256"/>
      <c r="H100" s="256"/>
      <c r="I100" s="256"/>
    </row>
    <row r="101" spans="1:9" x14ac:dyDescent="0.25">
      <c r="A101" s="863"/>
      <c r="B101" s="866"/>
      <c r="C101" s="187" t="s">
        <v>32</v>
      </c>
      <c r="D101" s="591" t="str">
        <f>IF(E101='Parametre - Agendové IS'!N154,"OK","Chyba")</f>
        <v>OK</v>
      </c>
      <c r="E101" s="592">
        <f t="shared" si="2"/>
        <v>0</v>
      </c>
      <c r="F101" s="256"/>
      <c r="G101" s="256"/>
      <c r="H101" s="256"/>
      <c r="I101" s="256"/>
    </row>
    <row r="102" spans="1:9" x14ac:dyDescent="0.25">
      <c r="A102" s="863"/>
      <c r="B102" s="866"/>
      <c r="C102" s="187" t="s">
        <v>33</v>
      </c>
      <c r="D102" s="591" t="str">
        <f>IF(E102='Parametre - Agendové IS'!N155,"OK","Chyba")</f>
        <v>OK</v>
      </c>
      <c r="E102" s="592">
        <f t="shared" si="2"/>
        <v>0</v>
      </c>
      <c r="F102" s="256"/>
      <c r="G102" s="256"/>
      <c r="H102" s="256"/>
      <c r="I102" s="256"/>
    </row>
    <row r="103" spans="1:9" ht="15.75" thickBot="1" x14ac:dyDescent="0.3">
      <c r="A103" s="864"/>
      <c r="B103" s="867"/>
      <c r="C103" s="188" t="s">
        <v>34</v>
      </c>
      <c r="D103" s="591" t="str">
        <f>IF(E103='Parametre - Agendové IS'!N156,"OK","Chyba")</f>
        <v>OK</v>
      </c>
      <c r="E103" s="592">
        <f t="shared" si="2"/>
        <v>0</v>
      </c>
      <c r="F103" s="256"/>
      <c r="G103" s="256"/>
      <c r="H103" s="256"/>
      <c r="I103" s="256"/>
    </row>
    <row r="106" spans="1:9" ht="15.75" thickBot="1" x14ac:dyDescent="0.3"/>
    <row r="107" spans="1:9" x14ac:dyDescent="0.25">
      <c r="A107" s="868">
        <f>'Parametre - Agendové IS'!AQ1</f>
        <v>0</v>
      </c>
      <c r="B107" s="869"/>
      <c r="C107" s="870"/>
      <c r="D107" s="874" t="s">
        <v>108</v>
      </c>
      <c r="E107" s="875"/>
      <c r="F107" s="364" t="s">
        <v>167</v>
      </c>
      <c r="G107" s="364" t="s">
        <v>168</v>
      </c>
      <c r="H107" s="364" t="s">
        <v>169</v>
      </c>
      <c r="I107" s="364" t="s">
        <v>171</v>
      </c>
    </row>
    <row r="108" spans="1:9" ht="15.75" thickBot="1" x14ac:dyDescent="0.3">
      <c r="A108" s="871"/>
      <c r="B108" s="872"/>
      <c r="C108" s="873"/>
      <c r="D108" s="587" t="s">
        <v>361</v>
      </c>
      <c r="E108" s="588" t="s">
        <v>170</v>
      </c>
      <c r="F108" s="189" t="s">
        <v>170</v>
      </c>
      <c r="G108" s="189" t="s">
        <v>170</v>
      </c>
      <c r="H108" s="189" t="s">
        <v>170</v>
      </c>
      <c r="I108" s="189" t="s">
        <v>170</v>
      </c>
    </row>
    <row r="109" spans="1:9" x14ac:dyDescent="0.25">
      <c r="A109" s="862" t="s">
        <v>43</v>
      </c>
      <c r="B109" s="865" t="s">
        <v>188</v>
      </c>
      <c r="C109" s="190" t="s">
        <v>25</v>
      </c>
      <c r="D109" s="589" t="str">
        <f>IF(E109='Parametre - Agendové IS'!AR107,"OK","Chyba počtu FTE")</f>
        <v>OK</v>
      </c>
      <c r="E109" s="590">
        <f t="shared" ref="E109:E138" si="3">F109+G109+H109+I109</f>
        <v>0</v>
      </c>
      <c r="F109" s="255"/>
      <c r="G109" s="255"/>
      <c r="H109" s="255"/>
      <c r="I109" s="255"/>
    </row>
    <row r="110" spans="1:9" x14ac:dyDescent="0.25">
      <c r="A110" s="863"/>
      <c r="B110" s="866"/>
      <c r="C110" s="187" t="s">
        <v>26</v>
      </c>
      <c r="D110" s="591" t="str">
        <f>IF(E110='Parametre - Agendové IS'!AR108,"OK","Chyba počtu FTE")</f>
        <v>OK</v>
      </c>
      <c r="E110" s="592">
        <f t="shared" si="3"/>
        <v>0</v>
      </c>
      <c r="F110" s="256"/>
      <c r="G110" s="256"/>
      <c r="H110" s="256"/>
      <c r="I110" s="256"/>
    </row>
    <row r="111" spans="1:9" x14ac:dyDescent="0.25">
      <c r="A111" s="863"/>
      <c r="B111" s="866"/>
      <c r="C111" s="187" t="s">
        <v>27</v>
      </c>
      <c r="D111" s="591" t="str">
        <f>IF(E111='Parametre - Agendové IS'!AR109,"OK","Chyba počtu FTE")</f>
        <v>OK</v>
      </c>
      <c r="E111" s="592">
        <f t="shared" si="3"/>
        <v>0</v>
      </c>
      <c r="F111" s="256"/>
      <c r="G111" s="256"/>
      <c r="H111" s="256"/>
      <c r="I111" s="256"/>
    </row>
    <row r="112" spans="1:9" x14ac:dyDescent="0.25">
      <c r="A112" s="863"/>
      <c r="B112" s="866"/>
      <c r="C112" s="187" t="s">
        <v>28</v>
      </c>
      <c r="D112" s="591" t="str">
        <f>IF(E112='Parametre - Agendové IS'!AR110,"OK","Chyba počtu FTE")</f>
        <v>OK</v>
      </c>
      <c r="E112" s="592">
        <f t="shared" si="3"/>
        <v>0</v>
      </c>
      <c r="F112" s="256"/>
      <c r="G112" s="256"/>
      <c r="H112" s="256"/>
      <c r="I112" s="256"/>
    </row>
    <row r="113" spans="1:9" x14ac:dyDescent="0.25">
      <c r="A113" s="863"/>
      <c r="B113" s="866"/>
      <c r="C113" s="187" t="s">
        <v>29</v>
      </c>
      <c r="D113" s="591" t="str">
        <f>IF(E113='Parametre - Agendové IS'!AR111,"OK","Chyba počtu FTE")</f>
        <v>OK</v>
      </c>
      <c r="E113" s="592">
        <f t="shared" si="3"/>
        <v>0</v>
      </c>
      <c r="F113" s="256"/>
      <c r="G113" s="256"/>
      <c r="H113" s="256"/>
      <c r="I113" s="256"/>
    </row>
    <row r="114" spans="1:9" x14ac:dyDescent="0.25">
      <c r="A114" s="863"/>
      <c r="B114" s="866"/>
      <c r="C114" s="187" t="s">
        <v>30</v>
      </c>
      <c r="D114" s="591" t="str">
        <f>IF(E114='Parametre - Agendové IS'!AR112,"OK","Chyba počtu FTE")</f>
        <v>OK</v>
      </c>
      <c r="E114" s="592">
        <f t="shared" si="3"/>
        <v>0</v>
      </c>
      <c r="F114" s="256"/>
      <c r="G114" s="256"/>
      <c r="H114" s="256"/>
      <c r="I114" s="256"/>
    </row>
    <row r="115" spans="1:9" x14ac:dyDescent="0.25">
      <c r="A115" s="863"/>
      <c r="B115" s="866"/>
      <c r="C115" s="187" t="s">
        <v>31</v>
      </c>
      <c r="D115" s="591" t="str">
        <f>IF(E115='Parametre - Agendové IS'!AR113,"OK","Chyba počtu FTE")</f>
        <v>OK</v>
      </c>
      <c r="E115" s="592">
        <f t="shared" si="3"/>
        <v>0</v>
      </c>
      <c r="F115" s="256"/>
      <c r="G115" s="256"/>
      <c r="H115" s="256"/>
      <c r="I115" s="256"/>
    </row>
    <row r="116" spans="1:9" x14ac:dyDescent="0.25">
      <c r="A116" s="863"/>
      <c r="B116" s="866"/>
      <c r="C116" s="187" t="s">
        <v>32</v>
      </c>
      <c r="D116" s="591" t="str">
        <f>IF(E116='Parametre - Agendové IS'!AR114,"OK","Chyba počtu FTE")</f>
        <v>OK</v>
      </c>
      <c r="E116" s="592">
        <f t="shared" si="3"/>
        <v>0</v>
      </c>
      <c r="F116" s="256"/>
      <c r="G116" s="256"/>
      <c r="H116" s="256"/>
      <c r="I116" s="256"/>
    </row>
    <row r="117" spans="1:9" x14ac:dyDescent="0.25">
      <c r="A117" s="863"/>
      <c r="B117" s="866"/>
      <c r="C117" s="187" t="s">
        <v>33</v>
      </c>
      <c r="D117" s="591" t="str">
        <f>IF(E117='Parametre - Agendové IS'!AR115,"OK","Chyba počtu FTE")</f>
        <v>OK</v>
      </c>
      <c r="E117" s="592">
        <f t="shared" si="3"/>
        <v>0</v>
      </c>
      <c r="F117" s="256"/>
      <c r="G117" s="256"/>
      <c r="H117" s="256"/>
      <c r="I117" s="256"/>
    </row>
    <row r="118" spans="1:9" ht="15.75" thickBot="1" x14ac:dyDescent="0.3">
      <c r="A118" s="863"/>
      <c r="B118" s="866"/>
      <c r="C118" s="187" t="s">
        <v>34</v>
      </c>
      <c r="D118" s="593" t="str">
        <f>IF(E118='Parametre - Agendové IS'!AR116,"OK","Chyba počtu FTE")</f>
        <v>OK</v>
      </c>
      <c r="E118" s="594">
        <f t="shared" si="3"/>
        <v>0</v>
      </c>
      <c r="F118" s="257"/>
      <c r="G118" s="257"/>
      <c r="H118" s="257"/>
      <c r="I118" s="257"/>
    </row>
    <row r="119" spans="1:9" x14ac:dyDescent="0.25">
      <c r="A119" s="862" t="s">
        <v>41</v>
      </c>
      <c r="B119" s="865" t="s">
        <v>37</v>
      </c>
      <c r="C119" s="190" t="s">
        <v>25</v>
      </c>
      <c r="D119" s="590" t="str">
        <f>IF(E119='Parametre - Agendové IS'!AR16,"OK","Chyba počtu podaní")</f>
        <v>OK</v>
      </c>
      <c r="E119" s="595">
        <f t="shared" si="3"/>
        <v>0</v>
      </c>
      <c r="F119" s="255"/>
      <c r="G119" s="255"/>
      <c r="H119" s="255"/>
      <c r="I119" s="255"/>
    </row>
    <row r="120" spans="1:9" x14ac:dyDescent="0.25">
      <c r="A120" s="863"/>
      <c r="B120" s="866"/>
      <c r="C120" s="187" t="s">
        <v>26</v>
      </c>
      <c r="D120" s="591" t="str">
        <f>IF(E120='Parametre - Agendové IS'!AR17,"OK","Chyba počtu podaní")</f>
        <v>OK</v>
      </c>
      <c r="E120" s="592">
        <f t="shared" si="3"/>
        <v>0</v>
      </c>
      <c r="F120" s="256"/>
      <c r="G120" s="256"/>
      <c r="H120" s="256"/>
      <c r="I120" s="256"/>
    </row>
    <row r="121" spans="1:9" x14ac:dyDescent="0.25">
      <c r="A121" s="863"/>
      <c r="B121" s="866"/>
      <c r="C121" s="187" t="s">
        <v>27</v>
      </c>
      <c r="D121" s="591" t="str">
        <f>IF(E121='Parametre - Agendové IS'!AR18,"OK","Chyba počtu podaní")</f>
        <v>OK</v>
      </c>
      <c r="E121" s="592">
        <f t="shared" si="3"/>
        <v>0</v>
      </c>
      <c r="F121" s="256"/>
      <c r="G121" s="256"/>
      <c r="H121" s="256"/>
      <c r="I121" s="256"/>
    </row>
    <row r="122" spans="1:9" x14ac:dyDescent="0.25">
      <c r="A122" s="863"/>
      <c r="B122" s="866"/>
      <c r="C122" s="187" t="s">
        <v>28</v>
      </c>
      <c r="D122" s="591" t="str">
        <f>IF(E122='Parametre - Agendové IS'!AR19,"OK","Chyba počtu podaní")</f>
        <v>OK</v>
      </c>
      <c r="E122" s="592">
        <f t="shared" si="3"/>
        <v>0</v>
      </c>
      <c r="F122" s="256"/>
      <c r="G122" s="256"/>
      <c r="H122" s="256"/>
      <c r="I122" s="256"/>
    </row>
    <row r="123" spans="1:9" x14ac:dyDescent="0.25">
      <c r="A123" s="863"/>
      <c r="B123" s="866"/>
      <c r="C123" s="187" t="s">
        <v>29</v>
      </c>
      <c r="D123" s="591" t="str">
        <f>IF(E123='Parametre - Agendové IS'!AR20,"OK","Chyba počtu podaní")</f>
        <v>OK</v>
      </c>
      <c r="E123" s="592">
        <f t="shared" si="3"/>
        <v>0</v>
      </c>
      <c r="F123" s="256"/>
      <c r="G123" s="256"/>
      <c r="H123" s="256"/>
      <c r="I123" s="256"/>
    </row>
    <row r="124" spans="1:9" x14ac:dyDescent="0.25">
      <c r="A124" s="863"/>
      <c r="B124" s="866"/>
      <c r="C124" s="187" t="s">
        <v>30</v>
      </c>
      <c r="D124" s="591" t="str">
        <f>IF(E124='Parametre - Agendové IS'!AR21,"OK","Chyba počtu podaní")</f>
        <v>OK</v>
      </c>
      <c r="E124" s="592">
        <f t="shared" si="3"/>
        <v>0</v>
      </c>
      <c r="F124" s="256"/>
      <c r="G124" s="256"/>
      <c r="H124" s="256"/>
      <c r="I124" s="256"/>
    </row>
    <row r="125" spans="1:9" x14ac:dyDescent="0.25">
      <c r="A125" s="863"/>
      <c r="B125" s="866"/>
      <c r="C125" s="187" t="s">
        <v>31</v>
      </c>
      <c r="D125" s="591" t="str">
        <f>IF(E125='Parametre - Agendové IS'!AR22,"OK","Chyba počtu podaní")</f>
        <v>OK</v>
      </c>
      <c r="E125" s="592">
        <f t="shared" si="3"/>
        <v>0</v>
      </c>
      <c r="F125" s="256"/>
      <c r="G125" s="256"/>
      <c r="H125" s="256"/>
      <c r="I125" s="256"/>
    </row>
    <row r="126" spans="1:9" x14ac:dyDescent="0.25">
      <c r="A126" s="863"/>
      <c r="B126" s="866"/>
      <c r="C126" s="187" t="s">
        <v>32</v>
      </c>
      <c r="D126" s="591" t="str">
        <f>IF(E126='Parametre - Agendové IS'!AR23,"OK","Chyba počtu podaní")</f>
        <v>OK</v>
      </c>
      <c r="E126" s="592">
        <f t="shared" si="3"/>
        <v>0</v>
      </c>
      <c r="F126" s="256"/>
      <c r="G126" s="256"/>
      <c r="H126" s="256"/>
      <c r="I126" s="256"/>
    </row>
    <row r="127" spans="1:9" x14ac:dyDescent="0.25">
      <c r="A127" s="863"/>
      <c r="B127" s="866"/>
      <c r="C127" s="187" t="s">
        <v>33</v>
      </c>
      <c r="D127" s="591" t="str">
        <f>IF(E127='Parametre - Agendové IS'!AR24,"OK","Chyba počtu podaní")</f>
        <v>OK</v>
      </c>
      <c r="E127" s="592">
        <f t="shared" si="3"/>
        <v>0</v>
      </c>
      <c r="F127" s="256"/>
      <c r="G127" s="256"/>
      <c r="H127" s="256"/>
      <c r="I127" s="256"/>
    </row>
    <row r="128" spans="1:9" ht="15.75" thickBot="1" x14ac:dyDescent="0.3">
      <c r="A128" s="864"/>
      <c r="B128" s="867"/>
      <c r="C128" s="188" t="s">
        <v>34</v>
      </c>
      <c r="D128" s="591" t="str">
        <f>IF(E128='Parametre - Agendové IS'!AR25,"OK","Chyba počtu podaní")</f>
        <v>OK</v>
      </c>
      <c r="E128" s="592">
        <f t="shared" si="3"/>
        <v>0</v>
      </c>
      <c r="F128" s="256"/>
      <c r="G128" s="256"/>
      <c r="H128" s="256"/>
      <c r="I128" s="256"/>
    </row>
    <row r="129" spans="1:9" x14ac:dyDescent="0.25">
      <c r="A129" s="862" t="s">
        <v>39</v>
      </c>
      <c r="B129" s="865" t="s">
        <v>13</v>
      </c>
      <c r="C129" s="190" t="s">
        <v>25</v>
      </c>
      <c r="D129" s="590" t="str">
        <f>IF(E129='Parametre - Agendové IS'!AR147,"OK","Chyba")</f>
        <v>OK</v>
      </c>
      <c r="E129" s="595">
        <f t="shared" si="3"/>
        <v>0</v>
      </c>
      <c r="F129" s="255"/>
      <c r="G129" s="255"/>
      <c r="H129" s="255"/>
      <c r="I129" s="255"/>
    </row>
    <row r="130" spans="1:9" x14ac:dyDescent="0.25">
      <c r="A130" s="863"/>
      <c r="B130" s="866"/>
      <c r="C130" s="187" t="s">
        <v>26</v>
      </c>
      <c r="D130" s="591" t="str">
        <f>IF(E130='Parametre - Agendové IS'!AR148,"OK","Chyba")</f>
        <v>OK</v>
      </c>
      <c r="E130" s="592">
        <f t="shared" si="3"/>
        <v>0</v>
      </c>
      <c r="F130" s="256"/>
      <c r="G130" s="256"/>
      <c r="H130" s="256"/>
      <c r="I130" s="256"/>
    </row>
    <row r="131" spans="1:9" x14ac:dyDescent="0.25">
      <c r="A131" s="863"/>
      <c r="B131" s="866"/>
      <c r="C131" s="187" t="s">
        <v>27</v>
      </c>
      <c r="D131" s="591" t="str">
        <f>IF(E131='Parametre - Agendové IS'!AR149,"OK","Chyba")</f>
        <v>OK</v>
      </c>
      <c r="E131" s="592">
        <f t="shared" si="3"/>
        <v>0</v>
      </c>
      <c r="F131" s="256"/>
      <c r="G131" s="256"/>
      <c r="H131" s="256"/>
      <c r="I131" s="256"/>
    </row>
    <row r="132" spans="1:9" x14ac:dyDescent="0.25">
      <c r="A132" s="863"/>
      <c r="B132" s="866"/>
      <c r="C132" s="187" t="s">
        <v>28</v>
      </c>
      <c r="D132" s="591" t="str">
        <f>IF(E132='Parametre - Agendové IS'!AR150,"OK","Chyba")</f>
        <v>OK</v>
      </c>
      <c r="E132" s="592">
        <f t="shared" si="3"/>
        <v>0</v>
      </c>
      <c r="F132" s="256"/>
      <c r="G132" s="256"/>
      <c r="H132" s="256"/>
      <c r="I132" s="256"/>
    </row>
    <row r="133" spans="1:9" x14ac:dyDescent="0.25">
      <c r="A133" s="863"/>
      <c r="B133" s="866"/>
      <c r="C133" s="187" t="s">
        <v>29</v>
      </c>
      <c r="D133" s="591" t="str">
        <f>IF(E133='Parametre - Agendové IS'!AR151,"OK","Chyba")</f>
        <v>OK</v>
      </c>
      <c r="E133" s="592">
        <f t="shared" si="3"/>
        <v>0</v>
      </c>
      <c r="F133" s="256"/>
      <c r="G133" s="256"/>
      <c r="H133" s="256"/>
      <c r="I133" s="256"/>
    </row>
    <row r="134" spans="1:9" x14ac:dyDescent="0.25">
      <c r="A134" s="863"/>
      <c r="B134" s="866"/>
      <c r="C134" s="187" t="s">
        <v>30</v>
      </c>
      <c r="D134" s="591" t="str">
        <f>IF(E134='Parametre - Agendové IS'!AR152,"OK","Chyba")</f>
        <v>OK</v>
      </c>
      <c r="E134" s="592">
        <f t="shared" si="3"/>
        <v>0</v>
      </c>
      <c r="F134" s="256"/>
      <c r="G134" s="256"/>
      <c r="H134" s="256"/>
      <c r="I134" s="256"/>
    </row>
    <row r="135" spans="1:9" x14ac:dyDescent="0.25">
      <c r="A135" s="863"/>
      <c r="B135" s="866"/>
      <c r="C135" s="187" t="s">
        <v>31</v>
      </c>
      <c r="D135" s="591" t="str">
        <f>IF(E135='Parametre - Agendové IS'!AR153,"OK","Chyba")</f>
        <v>OK</v>
      </c>
      <c r="E135" s="592">
        <f t="shared" si="3"/>
        <v>0</v>
      </c>
      <c r="F135" s="256"/>
      <c r="G135" s="256"/>
      <c r="H135" s="256"/>
      <c r="I135" s="256"/>
    </row>
    <row r="136" spans="1:9" x14ac:dyDescent="0.25">
      <c r="A136" s="863"/>
      <c r="B136" s="866"/>
      <c r="C136" s="187" t="s">
        <v>32</v>
      </c>
      <c r="D136" s="591" t="str">
        <f>IF(E136='Parametre - Agendové IS'!AR154,"OK","Chyba")</f>
        <v>OK</v>
      </c>
      <c r="E136" s="592">
        <f t="shared" si="3"/>
        <v>0</v>
      </c>
      <c r="F136" s="256"/>
      <c r="G136" s="256"/>
      <c r="H136" s="256"/>
      <c r="I136" s="256"/>
    </row>
    <row r="137" spans="1:9" x14ac:dyDescent="0.25">
      <c r="A137" s="863"/>
      <c r="B137" s="866"/>
      <c r="C137" s="187" t="s">
        <v>33</v>
      </c>
      <c r="D137" s="591" t="str">
        <f>IF(E137='Parametre - Agendové IS'!AR155,"OK","Chyba")</f>
        <v>OK</v>
      </c>
      <c r="E137" s="592">
        <f t="shared" si="3"/>
        <v>0</v>
      </c>
      <c r="F137" s="256"/>
      <c r="G137" s="256"/>
      <c r="H137" s="256"/>
      <c r="I137" s="256"/>
    </row>
    <row r="138" spans="1:9" ht="15.75" thickBot="1" x14ac:dyDescent="0.3">
      <c r="A138" s="864"/>
      <c r="B138" s="867"/>
      <c r="C138" s="188" t="s">
        <v>34</v>
      </c>
      <c r="D138" s="591" t="str">
        <f>IF(E138='Parametre - Agendové IS'!AR156,"OK","Chyba")</f>
        <v>OK</v>
      </c>
      <c r="E138" s="592">
        <f t="shared" si="3"/>
        <v>0</v>
      </c>
      <c r="F138" s="256"/>
      <c r="G138" s="256"/>
      <c r="H138" s="256"/>
      <c r="I138" s="256"/>
    </row>
  </sheetData>
  <mergeCells count="32">
    <mergeCell ref="A119:A128"/>
    <mergeCell ref="B119:B128"/>
    <mergeCell ref="A109:A118"/>
    <mergeCell ref="B109:B118"/>
    <mergeCell ref="A84:A93"/>
    <mergeCell ref="B84:B93"/>
    <mergeCell ref="A107:C108"/>
    <mergeCell ref="D107:E107"/>
    <mergeCell ref="D72:E72"/>
    <mergeCell ref="D37:E37"/>
    <mergeCell ref="D2:E2"/>
    <mergeCell ref="A2:C3"/>
    <mergeCell ref="B4:B13"/>
    <mergeCell ref="A14:A23"/>
    <mergeCell ref="B14:B23"/>
    <mergeCell ref="A4:A13"/>
    <mergeCell ref="A129:A138"/>
    <mergeCell ref="B129:B138"/>
    <mergeCell ref="A24:A33"/>
    <mergeCell ref="B24:B33"/>
    <mergeCell ref="A59:A68"/>
    <mergeCell ref="B59:B68"/>
    <mergeCell ref="A94:A103"/>
    <mergeCell ref="B94:B103"/>
    <mergeCell ref="A37:C38"/>
    <mergeCell ref="A39:A48"/>
    <mergeCell ref="B39:B48"/>
    <mergeCell ref="A49:A58"/>
    <mergeCell ref="B49:B58"/>
    <mergeCell ref="A72:C73"/>
    <mergeCell ref="A74:A83"/>
    <mergeCell ref="B74:B83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32"/>
  <sheetViews>
    <sheetView view="pageBreakPreview" zoomScale="115" zoomScaleNormal="100" zoomScaleSheetLayoutView="115" workbookViewId="0">
      <selection activeCell="D3" sqref="D3"/>
    </sheetView>
  </sheetViews>
  <sheetFormatPr defaultColWidth="9.140625" defaultRowHeight="15" x14ac:dyDescent="0.25"/>
  <cols>
    <col min="1" max="2" width="9.140625" style="534" customWidth="1"/>
    <col min="3" max="3" width="32" style="534" customWidth="1"/>
    <col min="4" max="6" width="13.42578125" style="534" bestFit="1" customWidth="1"/>
    <col min="7" max="7" width="13.140625" style="534" bestFit="1" customWidth="1"/>
    <col min="8" max="8" width="19.85546875" style="534" customWidth="1"/>
    <col min="9" max="9" width="13.85546875" style="534" bestFit="1" customWidth="1"/>
    <col min="10" max="14" width="9.140625" style="534" customWidth="1"/>
    <col min="15" max="15" width="32.28515625" style="534" customWidth="1"/>
    <col min="16" max="18" width="15.42578125" style="534" bestFit="1" customWidth="1"/>
    <col min="19" max="19" width="12.85546875" style="534" bestFit="1" customWidth="1"/>
    <col min="20" max="20" width="20.42578125" style="534" customWidth="1"/>
    <col min="21" max="21" width="15.42578125" style="534" bestFit="1" customWidth="1"/>
    <col min="22" max="22" width="9.140625" style="534" customWidth="1"/>
    <col min="23" max="16384" width="9.140625" style="534"/>
  </cols>
  <sheetData>
    <row r="1" spans="1:21" ht="21.75" customHeight="1" thickBot="1" x14ac:dyDescent="0.3">
      <c r="A1" s="757" t="s">
        <v>359</v>
      </c>
      <c r="B1" s="757"/>
      <c r="C1" s="757"/>
      <c r="D1" s="533"/>
      <c r="E1" s="533"/>
      <c r="F1" s="533"/>
      <c r="G1" s="533"/>
      <c r="H1" s="533"/>
      <c r="I1" s="533"/>
      <c r="J1" s="533"/>
      <c r="K1" s="533"/>
      <c r="L1" s="533"/>
      <c r="M1" s="757" t="s">
        <v>360</v>
      </c>
      <c r="N1" s="757"/>
      <c r="O1" s="757"/>
    </row>
    <row r="2" spans="1:21" ht="81.599999999999994" customHeight="1" x14ac:dyDescent="0.25">
      <c r="A2" s="758"/>
      <c r="B2" s="759"/>
      <c r="C2" s="760"/>
      <c r="D2" s="631" t="str">
        <f>'Parametre - Agendové IS'!G1</f>
        <v>Vybavenie žiadosti o informáciu o dostupnej fyzickej infraštruktúre v definovanej  oblasti</v>
      </c>
      <c r="E2" s="628">
        <f>'Parametre - Agendové IS'!J1</f>
        <v>0</v>
      </c>
      <c r="F2" s="628">
        <f>'Parametre - Agendové IS'!M1</f>
        <v>0</v>
      </c>
      <c r="G2" s="629">
        <f>'Parametre - Agendové IS'!AQ1</f>
        <v>0</v>
      </c>
      <c r="H2" s="631" t="s">
        <v>349</v>
      </c>
      <c r="I2" s="630" t="s">
        <v>108</v>
      </c>
      <c r="M2" s="758"/>
      <c r="N2" s="759"/>
      <c r="O2" s="760"/>
      <c r="P2" s="628" t="str">
        <f>D2</f>
        <v>Vybavenie žiadosti o informáciu o dostupnej fyzickej infraštruktúre v definovanej  oblasti</v>
      </c>
      <c r="Q2" s="628">
        <f>E2</f>
        <v>0</v>
      </c>
      <c r="R2" s="628">
        <f>F2</f>
        <v>0</v>
      </c>
      <c r="S2" s="629">
        <f>G2</f>
        <v>0</v>
      </c>
      <c r="T2" s="631" t="s">
        <v>349</v>
      </c>
      <c r="U2" s="630" t="s">
        <v>108</v>
      </c>
    </row>
    <row r="3" spans="1:21" x14ac:dyDescent="0.25">
      <c r="A3" s="367" t="s">
        <v>364</v>
      </c>
      <c r="B3" s="368"/>
      <c r="C3" s="369"/>
      <c r="D3" s="370">
        <f>D4+D5+D9+D13+D14</f>
        <v>1045597.7825357523</v>
      </c>
      <c r="E3" s="370">
        <f>E4+E5+E9+E13+E14</f>
        <v>1247018.6510816542</v>
      </c>
      <c r="F3" s="370">
        <f>F4+F5+F9+F13+F14</f>
        <v>4580915.900361184</v>
      </c>
      <c r="G3" s="371">
        <f>G4+G5+G9+G13+G14</f>
        <v>2950785.0715083871</v>
      </c>
      <c r="H3" s="370">
        <f>H5+H9+H13+H14</f>
        <v>1290806.3434709841</v>
      </c>
      <c r="I3" s="535">
        <f>SUM(D3:H3)</f>
        <v>11115123.748957962</v>
      </c>
      <c r="M3" s="367" t="s">
        <v>364</v>
      </c>
      <c r="N3" s="368"/>
      <c r="O3" s="369"/>
      <c r="P3" s="370">
        <f>P4+P5+P9+P13+P14</f>
        <v>1103200.8</v>
      </c>
      <c r="Q3" s="370">
        <f>Q4+Q5+Q9+Q13+Q14</f>
        <v>1310048.8</v>
      </c>
      <c r="R3" s="370">
        <f>R4+R5+R9+R13+R14</f>
        <v>4937502.4000000004</v>
      </c>
      <c r="S3" s="371">
        <f>S4+S5+S9+S13+S14</f>
        <v>3158346.4</v>
      </c>
      <c r="T3" s="370">
        <f>T5+T9+T13+T14</f>
        <v>1500249.6</v>
      </c>
      <c r="U3" s="535">
        <f>SUM(P3:T3)</f>
        <v>12009348</v>
      </c>
    </row>
    <row r="4" spans="1:21" x14ac:dyDescent="0.25">
      <c r="A4" s="372"/>
      <c r="B4" s="373" t="s">
        <v>69</v>
      </c>
      <c r="C4" s="374"/>
      <c r="D4" s="559">
        <f>'Parametre - Agendové IS'!I127+NPV(Faktory!$D$5,'Parametre - Agendové IS'!I128:I136)</f>
        <v>0</v>
      </c>
      <c r="E4" s="559">
        <f>'Parametre - Agendové IS'!L127+NPV(Faktory!$D$5,'Parametre - Agendové IS'!L128:L136)</f>
        <v>0</v>
      </c>
      <c r="F4" s="559">
        <f>'Parametre - Agendové IS'!O127+NPV(Faktory!$D$5,'Parametre - Agendové IS'!O128:O136)</f>
        <v>0</v>
      </c>
      <c r="G4" s="560">
        <f>'Parametre - Agendové IS'!AS127+NPV(Faktory!$D$5,'Parametre - Agendové IS'!AS128:AS136)</f>
        <v>0</v>
      </c>
      <c r="H4" s="634" t="s">
        <v>221</v>
      </c>
      <c r="I4" s="561">
        <f>SUM(D4:H4)</f>
        <v>0</v>
      </c>
      <c r="M4" s="372"/>
      <c r="N4" s="373" t="s">
        <v>69</v>
      </c>
      <c r="O4" s="374"/>
      <c r="P4" s="559">
        <f>SUM('Parametre - Agendové IS'!I127:I136)</f>
        <v>0</v>
      </c>
      <c r="Q4" s="559">
        <f>SUM('Parametre - Agendové IS'!L127:L136)</f>
        <v>0</v>
      </c>
      <c r="R4" s="559">
        <f>SUM('Parametre - Agendové IS'!O127:O136)</f>
        <v>0</v>
      </c>
      <c r="S4" s="560">
        <f>SUM('Parametre - Agendové IS'!AS127:AS136)</f>
        <v>0</v>
      </c>
      <c r="T4" s="634" t="s">
        <v>221</v>
      </c>
      <c r="U4" s="561">
        <f>SUM(P4:T4)</f>
        <v>0</v>
      </c>
    </row>
    <row r="5" spans="1:21" x14ac:dyDescent="0.25">
      <c r="A5" s="372"/>
      <c r="B5" s="373" t="s">
        <v>219</v>
      </c>
      <c r="C5" s="374"/>
      <c r="D5" s="559">
        <f>SUM(D6:D8)</f>
        <v>319849.59999999998</v>
      </c>
      <c r="E5" s="559">
        <f>SUM(E6:E8)</f>
        <v>638003.4</v>
      </c>
      <c r="F5" s="559">
        <f>SUM(F6:F8)</f>
        <v>3675032</v>
      </c>
      <c r="G5" s="560">
        <f>SUM(G6:G8)</f>
        <v>2412916.5056689344</v>
      </c>
      <c r="H5" s="559">
        <f>SUM(H6:H8)</f>
        <v>646981.71428571432</v>
      </c>
      <c r="I5" s="561">
        <f>SUM(D5:H5)</f>
        <v>7692783.219954649</v>
      </c>
      <c r="M5" s="372"/>
      <c r="N5" s="373" t="s">
        <v>219</v>
      </c>
      <c r="O5" s="374"/>
      <c r="P5" s="559">
        <f>SUM(P6:P8)</f>
        <v>322694.40000000002</v>
      </c>
      <c r="Q5" s="559">
        <f>SUM(Q6:Q8)</f>
        <v>645514.4</v>
      </c>
      <c r="R5" s="559">
        <f>SUM(R6:R8)</f>
        <v>3760158.4</v>
      </c>
      <c r="S5" s="560">
        <f>SUM(S6:S8)</f>
        <v>2459298.4</v>
      </c>
      <c r="T5" s="559">
        <f>SUM(T6+T7)</f>
        <v>663494.40000000002</v>
      </c>
      <c r="U5" s="561">
        <f>SUM(P5:T5)</f>
        <v>7851160</v>
      </c>
    </row>
    <row r="6" spans="1:21" x14ac:dyDescent="0.25">
      <c r="A6" s="375"/>
      <c r="B6" s="376"/>
      <c r="C6" s="377" t="s">
        <v>110</v>
      </c>
      <c r="D6" s="562">
        <f>('TCO TO BE- SW'!F26+NPV(Faktory!$D$5,'TCO TO BE- SW'!F27:F35)+'TCO TO BE- SW'!F36+NPV(Faktory!$D$5,'TCO TO BE- SW'!F37:F45)+'TCO TO BE- SW'!F46+NPV(Faktory!$D$5,'TCO TO BE- SW'!F47:F55))</f>
        <v>319849.59999999998</v>
      </c>
      <c r="E6" s="562">
        <f>('TCO TO BE- SW'!G26+NPV(Faktory!$D$5,'TCO TO BE- SW'!G27:G35)+'TCO TO BE- SW'!G36+NPV(Faktory!$D$5,'TCO TO BE- SW'!G37:G45)+'TCO TO BE- SW'!G46+NPV(Faktory!$D$5,'TCO TO BE- SW'!G47:G55))</f>
        <v>450003.4</v>
      </c>
      <c r="F6" s="562">
        <f>('TCO TO BE- SW'!H26+NPV(Faktory!$D$5,'TCO TO BE- SW'!H27:H35)+'TCO TO BE- SW'!H36+NPV(Faktory!$D$5,'TCO TO BE- SW'!H37:H45)+'TCO TO BE- SW'!H46+NPV(Faktory!$D$5,'TCO TO BE- SW'!H47:H55))</f>
        <v>2926912</v>
      </c>
      <c r="G6" s="562">
        <f>('TCO TO BE- SW'!I26+NPV(Faktory!$D$5,'TCO TO BE- SW'!I27:I35)+'TCO TO BE- SW'!I36+NPV(Faktory!$D$5,'TCO TO BE- SW'!I37:I45)+'TCO TO BE- SW'!I46+NPV(Faktory!$D$5,'TCO TO BE- SW'!I47:I55))</f>
        <v>1854916.5056689342</v>
      </c>
      <c r="H6" s="562">
        <f>('TCO TO BE- SW'!T26+NPV(Faktory!$D$5,'TCO TO BE- SW'!T27:T35)+'TCO TO BE- SW'!T36+NPV(Faktory!$D$5,'TCO TO BE- SW'!T37:T45)+'TCO TO BE- SW'!T46+NPV(Faktory!$D$5,'TCO TO BE- SW'!T47:T55))</f>
        <v>364645.71428571426</v>
      </c>
      <c r="I6" s="564">
        <f>SUM(D6:H6)</f>
        <v>5916327.219954649</v>
      </c>
      <c r="M6" s="375"/>
      <c r="N6" s="376"/>
      <c r="O6" s="377" t="s">
        <v>110</v>
      </c>
      <c r="P6" s="562">
        <f>'TCO TO BE- SW'!F25</f>
        <v>322694.40000000002</v>
      </c>
      <c r="Q6" s="562">
        <f>'TCO TO BE- SW'!G25</f>
        <v>457514.4</v>
      </c>
      <c r="R6" s="562">
        <f>'TCO TO BE- SW'!H25</f>
        <v>3012038.4</v>
      </c>
      <c r="S6" s="562">
        <f>'TCO TO BE- SW'!I25</f>
        <v>1901298.4</v>
      </c>
      <c r="T6" s="562">
        <f>'TCO TO BE- SW'!T25</f>
        <v>381158.40000000002</v>
      </c>
      <c r="U6" s="564">
        <f>SUM(P6:T6)</f>
        <v>6074704</v>
      </c>
    </row>
    <row r="7" spans="1:21" x14ac:dyDescent="0.25">
      <c r="A7" s="375"/>
      <c r="B7" s="376"/>
      <c r="C7" s="377" t="s">
        <v>68</v>
      </c>
      <c r="D7" s="562">
        <f>('TCO TO BE- SW'!F5+NPV(Faktory!$D$5,'TCO TO BE- SW'!F6:F14)+'TCO TO BE- SW'!F15+NPV(Faktory!$D$5,'TCO TO BE- SW'!F16:F24))</f>
        <v>0</v>
      </c>
      <c r="E7" s="562">
        <f>('TCO TO BE- SW'!G5+NPV(Faktory!$D$5,'TCO TO BE- SW'!G6:G14)+'TCO TO BE- SW'!G15+NPV(Faktory!$D$5,'TCO TO BE- SW'!G16:G24))</f>
        <v>188000</v>
      </c>
      <c r="F7" s="562">
        <f>('TCO TO BE- SW'!H5+NPV(Faktory!$D$5,'TCO TO BE- SW'!H6:H14)+'TCO TO BE- SW'!H15+NPV(Faktory!$D$5,'TCO TO BE- SW'!H16:H24))</f>
        <v>748120</v>
      </c>
      <c r="G7" s="562">
        <f>('TCO TO BE- SW'!I5+NPV(Faktory!$D$5,'TCO TO BE- SW'!I6:I14)+'TCO TO BE- SW'!I15+NPV(Faktory!$D$5,'TCO TO BE- SW'!I16:I24))</f>
        <v>558000</v>
      </c>
      <c r="H7" s="562">
        <f>('TCO TO BE- SW'!T5+NPV(Faktory!$D$5,'TCO TO BE- SW'!T6:T14)+'TCO TO BE- SW'!T15+NPV(Faktory!$D$5,'TCO TO BE- SW'!T16:T24))</f>
        <v>282336</v>
      </c>
      <c r="I7" s="564">
        <f>SUM(D7:H7)</f>
        <v>1776456</v>
      </c>
      <c r="M7" s="375"/>
      <c r="N7" s="376"/>
      <c r="O7" s="377" t="s">
        <v>68</v>
      </c>
      <c r="P7" s="562">
        <f>'TCO TO BE- SW'!F4</f>
        <v>0</v>
      </c>
      <c r="Q7" s="562">
        <f>'TCO TO BE- SW'!G4</f>
        <v>188000</v>
      </c>
      <c r="R7" s="562">
        <f>'TCO TO BE- SW'!H4</f>
        <v>748120</v>
      </c>
      <c r="S7" s="562">
        <f>'TCO TO BE- SW'!I4</f>
        <v>558000</v>
      </c>
      <c r="T7" s="562">
        <f>'TCO TO BE- SW'!T4</f>
        <v>282336</v>
      </c>
      <c r="U7" s="564">
        <f>SUM(P7:T7)</f>
        <v>1776456</v>
      </c>
    </row>
    <row r="8" spans="1:21" x14ac:dyDescent="0.25">
      <c r="A8" s="375"/>
      <c r="B8" s="376"/>
      <c r="C8" s="377" t="s">
        <v>67</v>
      </c>
      <c r="D8" s="562">
        <f>('TCO TO BE - HW'!F4+NPV(Faktory!$D$5,'TCO TO BE - HW'!F5:F13)+'TCO TO BE - HW'!F14+NPV(Faktory!$D$5,'TCO TO BE - HW'!F15:F23)+'TCO TO BE - HW'!F24+NPV(Faktory!$D$5,'TCO TO BE - HW'!F25:F33))</f>
        <v>0</v>
      </c>
      <c r="E8" s="562">
        <f>('TCO TO BE - HW'!G4+NPV(Faktory!$D$5,'TCO TO BE - HW'!G5:G13)+'TCO TO BE - HW'!G14+NPV(Faktory!$D$5,'TCO TO BE - HW'!G15:G23)+'TCO TO BE - HW'!G24+NPV(Faktory!$D$5,'TCO TO BE - HW'!G25:G33))</f>
        <v>0</v>
      </c>
      <c r="F8" s="562">
        <f>('TCO TO BE - HW'!H4+NPV(Faktory!$D$5,'TCO TO BE - HW'!H5:H13)+'TCO TO BE - HW'!H14+NPV(Faktory!$D$5,'TCO TO BE - HW'!H15:H23)+'TCO TO BE - HW'!H24+NPV(Faktory!$D$5,'TCO TO BE - HW'!H25:H33))</f>
        <v>0</v>
      </c>
      <c r="G8" s="562">
        <f>('TCO TO BE - HW'!I4+NPV(Faktory!$D$5,'TCO TO BE - HW'!I5:I13)+'TCO TO BE - HW'!I14+NPV(Faktory!$D$5,'TCO TO BE - HW'!I15:I23)+'TCO TO BE - HW'!I24+NPV(Faktory!$D$5,'TCO TO BE - HW'!I25:I33))</f>
        <v>0</v>
      </c>
      <c r="H8" s="565" t="s">
        <v>221</v>
      </c>
      <c r="I8" s="564">
        <f>SUM(D8:G8)</f>
        <v>0</v>
      </c>
      <c r="M8" s="375"/>
      <c r="N8" s="376"/>
      <c r="O8" s="377" t="s">
        <v>67</v>
      </c>
      <c r="P8" s="562">
        <f>'TCO TO BE - HW'!F3</f>
        <v>0</v>
      </c>
      <c r="Q8" s="562">
        <f>'TCO TO BE - HW'!G3</f>
        <v>0</v>
      </c>
      <c r="R8" s="562">
        <f>'TCO TO BE - HW'!H3</f>
        <v>0</v>
      </c>
      <c r="S8" s="562">
        <f>'TCO TO BE - HW'!I3</f>
        <v>0</v>
      </c>
      <c r="T8" s="565" t="s">
        <v>221</v>
      </c>
      <c r="U8" s="564">
        <f>SUM(P8:S8)</f>
        <v>0</v>
      </c>
    </row>
    <row r="9" spans="1:21" x14ac:dyDescent="0.25">
      <c r="A9" s="372"/>
      <c r="B9" s="373" t="s">
        <v>220</v>
      </c>
      <c r="C9" s="374"/>
      <c r="D9" s="559">
        <f>SUM(D10:D12)</f>
        <v>78179.021538019966</v>
      </c>
      <c r="E9" s="559">
        <f>SUM(E10:E12)</f>
        <v>119672.84745353651</v>
      </c>
      <c r="F9" s="559">
        <f>SUM(F10:F12)</f>
        <v>905883.90036118391</v>
      </c>
      <c r="G9" s="560">
        <f>SUM(G10:G12)</f>
        <v>537868.5658394529</v>
      </c>
      <c r="H9" s="559">
        <f>SUM(H10:H12)</f>
        <v>643824.62918526994</v>
      </c>
      <c r="I9" s="561">
        <f>SUM(D9:H9)</f>
        <v>2285428.9643774633</v>
      </c>
      <c r="M9" s="372"/>
      <c r="N9" s="373" t="s">
        <v>220</v>
      </c>
      <c r="O9" s="374"/>
      <c r="P9" s="559">
        <f>SUM(P10:P12)</f>
        <v>101606.40000000001</v>
      </c>
      <c r="Q9" s="559">
        <f>SUM(Q10:Q12)</f>
        <v>155534.39999999999</v>
      </c>
      <c r="R9" s="559">
        <f>SUM(R10:R12)</f>
        <v>1177344</v>
      </c>
      <c r="S9" s="560">
        <f>SUM(S10:S12)</f>
        <v>699048</v>
      </c>
      <c r="T9" s="559">
        <f>SUM(T10+T11)</f>
        <v>836755.20000000019</v>
      </c>
      <c r="U9" s="561">
        <f>SUM(P9:T9)</f>
        <v>2970288</v>
      </c>
    </row>
    <row r="10" spans="1:21" x14ac:dyDescent="0.25">
      <c r="A10" s="375"/>
      <c r="B10" s="376"/>
      <c r="C10" s="377" t="s">
        <v>110</v>
      </c>
      <c r="D10" s="562">
        <f>('TCO TO BE- SW'!F79+NPV(Faktory!$D$5,'TCO TO BE- SW'!F80:F88)+'TCO TO BE- SW'!F89+NPV(Faktory!$D$5,'TCO TO BE- SW'!F90:F98)+'TCO TO BE- SW'!F99+NPV(Faktory!$D$5,'TCO TO BE- SW'!F100:F108)+'TCO TO BE- SW'!F109+NPV(Faktory!$D$5,'TCO TO BE- SW'!F110:F118)+'TCO TO BE- SW'!F119+NPV(Faktory!$D$5,'TCO TO BE- SW'!F120:F128))</f>
        <v>78179.021538019966</v>
      </c>
      <c r="E10" s="562">
        <f>('TCO TO BE- SW'!G79+NPV(Faktory!$D$5,'TCO TO BE- SW'!G80:G88)+'TCO TO BE- SW'!G89+NPV(Faktory!$D$5,'TCO TO BE- SW'!G90:G98)+'TCO TO BE- SW'!G99+NPV(Faktory!$D$5,'TCO TO BE- SW'!G100:G108)+'TCO TO BE- SW'!G109+NPV(Faktory!$D$5,'TCO TO BE- SW'!G110:G118)+'TCO TO BE- SW'!G119+NPV(Faktory!$D$5,'TCO TO BE- SW'!G120:G128))</f>
        <v>119672.84745353651</v>
      </c>
      <c r="F10" s="562">
        <f>('TCO TO BE- SW'!H79+NPV(Faktory!$D$5,'TCO TO BE- SW'!H80:H88)+'TCO TO BE- SW'!H89+NPV(Faktory!$D$5,'TCO TO BE- SW'!H90:H98)+'TCO TO BE- SW'!H99+NPV(Faktory!$D$5,'TCO TO BE- SW'!H100:H108)+'TCO TO BE- SW'!H109+NPV(Faktory!$D$5,'TCO TO BE- SW'!H110:H118)+'TCO TO BE- SW'!H119+NPV(Faktory!$D$5,'TCO TO BE- SW'!H120:H128))</f>
        <v>905883.90036118391</v>
      </c>
      <c r="G10" s="562">
        <f>('TCO TO BE- SW'!I79+NPV(Faktory!$D$5,'TCO TO BE- SW'!I80:I88)+'TCO TO BE- SW'!I89+NPV(Faktory!$D$5,'TCO TO BE- SW'!I90:I98)+'TCO TO BE- SW'!I99+NPV(Faktory!$D$5,'TCO TO BE- SW'!I100:I108)+'TCO TO BE- SW'!I109+NPV(Faktory!$D$5,'TCO TO BE- SW'!I110:I118)+'TCO TO BE- SW'!I119+NPV(Faktory!$D$5,'TCO TO BE- SW'!I120:I128))</f>
        <v>537868.5658394529</v>
      </c>
      <c r="H10" s="562">
        <f>('TCO TO BE- SW'!T79+NPV(Faktory!$D$5,'TCO TO BE- SW'!T80:T88)+'TCO TO BE- SW'!T89+NPV(Faktory!$D$5,'TCO TO BE- SW'!T90:T98)+'TCO TO BE- SW'!T99+NPV(Faktory!$D$5,'TCO TO BE- SW'!T100:T108)+'TCO TO BE- SW'!T109+NPV(Faktory!$D$5,'TCO TO BE- SW'!T110:T118)+'TCO TO BE- SW'!T119+NPV(Faktory!$D$5,'TCO TO BE- SW'!T120:T128))</f>
        <v>643824.62918526994</v>
      </c>
      <c r="I10" s="564">
        <f>SUM(D10:H10)</f>
        <v>2285428.9643774633</v>
      </c>
      <c r="M10" s="375"/>
      <c r="N10" s="376"/>
      <c r="O10" s="377" t="s">
        <v>110</v>
      </c>
      <c r="P10" s="562">
        <f>'TCO TO BE- SW'!F78</f>
        <v>101606.40000000001</v>
      </c>
      <c r="Q10" s="562">
        <f>'TCO TO BE- SW'!G78</f>
        <v>155534.39999999999</v>
      </c>
      <c r="R10" s="562">
        <f>'TCO TO BE- SW'!H78</f>
        <v>1177344</v>
      </c>
      <c r="S10" s="562">
        <f>'TCO TO BE- SW'!I78</f>
        <v>699048</v>
      </c>
      <c r="T10" s="562">
        <f>'TCO TO BE- SW'!T78</f>
        <v>836755.20000000019</v>
      </c>
      <c r="U10" s="564">
        <f>SUM(P10:T10)</f>
        <v>2970288</v>
      </c>
    </row>
    <row r="11" spans="1:21" x14ac:dyDescent="0.25">
      <c r="A11" s="375"/>
      <c r="B11" s="376"/>
      <c r="C11" s="377" t="s">
        <v>68</v>
      </c>
      <c r="D11" s="562">
        <f>('TCO TO BE- SW'!F58+NPV(Faktory!$D$5,'TCO TO BE- SW'!F59:F67)+'TCO TO BE- SW'!F68+NPV(Faktory!$D$5,'TCO TO BE- SW'!F69:F77))</f>
        <v>0</v>
      </c>
      <c r="E11" s="562">
        <f>('TCO TO BE- SW'!G58+NPV(Faktory!$D$5,'TCO TO BE- SW'!G59:G67)+'TCO TO BE- SW'!G68+NPV(Faktory!$D$5,'TCO TO BE- SW'!G69:G77))</f>
        <v>0</v>
      </c>
      <c r="F11" s="562">
        <f>('TCO TO BE- SW'!H58+NPV(Faktory!$D$5,'TCO TO BE- SW'!H59:H67)+'TCO TO BE- SW'!H68+NPV(Faktory!$D$5,'TCO TO BE- SW'!H69:H77))</f>
        <v>0</v>
      </c>
      <c r="G11" s="562">
        <f>('TCO TO BE- SW'!I58+NPV(Faktory!$D$5,'TCO TO BE- SW'!I59:I67)+'TCO TO BE- SW'!I68+NPV(Faktory!$D$5,'TCO TO BE- SW'!I69:I77))</f>
        <v>0</v>
      </c>
      <c r="H11" s="562">
        <f>('TCO TO BE- SW'!T58+NPV(Faktory!$D$5,'TCO TO BE- SW'!T59:T67)+'TCO TO BE- SW'!T68+NPV(Faktory!$D$5,'TCO TO BE- SW'!T69:T77))</f>
        <v>0</v>
      </c>
      <c r="I11" s="564">
        <f>SUM(D11:H11)</f>
        <v>0</v>
      </c>
      <c r="M11" s="375"/>
      <c r="N11" s="376"/>
      <c r="O11" s="377" t="s">
        <v>68</v>
      </c>
      <c r="P11" s="562">
        <f>'TCO TO BE- SW'!F57</f>
        <v>0</v>
      </c>
      <c r="Q11" s="562">
        <f>'TCO TO BE- SW'!G57</f>
        <v>0</v>
      </c>
      <c r="R11" s="562">
        <f>'TCO TO BE- SW'!H57</f>
        <v>0</v>
      </c>
      <c r="S11" s="562">
        <f>'TCO TO BE- SW'!I57</f>
        <v>0</v>
      </c>
      <c r="T11" s="562">
        <f>'TCO TO BE- SW'!T57</f>
        <v>0</v>
      </c>
      <c r="U11" s="564">
        <f>SUM(P11:T11)</f>
        <v>0</v>
      </c>
    </row>
    <row r="12" spans="1:21" x14ac:dyDescent="0.25">
      <c r="A12" s="375"/>
      <c r="B12" s="376"/>
      <c r="C12" s="377" t="s">
        <v>67</v>
      </c>
      <c r="D12" s="562">
        <f>('TCO TO BE - HW'!F35+NPV(Faktory!$D$5,'TCO TO BE - HW'!F36:F44)+'TCO TO BE - HW'!F45+NPV(Faktory!$D$5,'TCO TO BE - HW'!F46:F54)+'TCO TO BE - HW'!F55+NPV(Faktory!$D$5,'TCO TO BE - HW'!F56:F64)+'TCO TO BE - HW'!F65+NPV(Faktory!$D$5,'TCO TO BE - HW'!F66:F74)+'TCO TO BE - HW'!F75+NPV(Faktory!$D$5,'TCO TO BE - HW'!F76:F84))</f>
        <v>0</v>
      </c>
      <c r="E12" s="562">
        <f>('TCO TO BE - HW'!G35+NPV(Faktory!$D$5,'TCO TO BE - HW'!G36:G44)+'TCO TO BE - HW'!G45+NPV(Faktory!$D$5,'TCO TO BE - HW'!G46:G54)+'TCO TO BE - HW'!G55+NPV(Faktory!$D$5,'TCO TO BE - HW'!G56:G64)+'TCO TO BE - HW'!G65+NPV(Faktory!$D$5,'TCO TO BE - HW'!G66:G74)+'TCO TO BE - HW'!G75+NPV(Faktory!$D$5,'TCO TO BE - HW'!G76:G84))</f>
        <v>0</v>
      </c>
      <c r="F12" s="562">
        <f>('TCO TO BE - HW'!H35+NPV(Faktory!$D$5,'TCO TO BE - HW'!H36:H44)+'TCO TO BE - HW'!H45+NPV(Faktory!$D$5,'TCO TO BE - HW'!H46:H54)+'TCO TO BE - HW'!H55+NPV(Faktory!$D$5,'TCO TO BE - HW'!H56:H64)+'TCO TO BE - HW'!H65+NPV(Faktory!$D$5,'TCO TO BE - HW'!H66:H74)+'TCO TO BE - HW'!H75+NPV(Faktory!$D$5,'TCO TO BE - HW'!H76:H84))</f>
        <v>0</v>
      </c>
      <c r="G12" s="562">
        <f>('TCO TO BE - HW'!I35+NPV(Faktory!$D$5,'TCO TO BE - HW'!I36:I44)+'TCO TO BE - HW'!I45+NPV(Faktory!$D$5,'TCO TO BE - HW'!I46:I54)+'TCO TO BE - HW'!I55+NPV(Faktory!$D$5,'TCO TO BE - HW'!I56:I64)+'TCO TO BE - HW'!I65+NPV(Faktory!$D$5,'TCO TO BE - HW'!I66:I74)+'TCO TO BE - HW'!I75+NPV(Faktory!$D$5,'TCO TO BE - HW'!I76:I84))</f>
        <v>0</v>
      </c>
      <c r="H12" s="565" t="s">
        <v>221</v>
      </c>
      <c r="I12" s="564">
        <f>SUM(D12:G12)</f>
        <v>0</v>
      </c>
      <c r="M12" s="375"/>
      <c r="N12" s="376"/>
      <c r="O12" s="377" t="s">
        <v>67</v>
      </c>
      <c r="P12" s="562">
        <f>'TCO TO BE - HW'!F34</f>
        <v>0</v>
      </c>
      <c r="Q12" s="562">
        <f>'TCO TO BE - HW'!G34</f>
        <v>0</v>
      </c>
      <c r="R12" s="562">
        <f>'TCO TO BE - HW'!H34</f>
        <v>0</v>
      </c>
      <c r="S12" s="562">
        <f>'TCO TO BE - HW'!I34</f>
        <v>0</v>
      </c>
      <c r="T12" s="565" t="s">
        <v>221</v>
      </c>
      <c r="U12" s="564">
        <f>SUM(P12:S12)</f>
        <v>0</v>
      </c>
    </row>
    <row r="13" spans="1:21" x14ac:dyDescent="0.25">
      <c r="A13" s="375"/>
      <c r="B13" s="373" t="s">
        <v>320</v>
      </c>
      <c r="C13" s="374"/>
      <c r="D13" s="637">
        <f>'TCO TO BE- SW'!F130+NPV(0.05,'TCO TO BE- SW'!F131:F139)+'TCO TO BE- SW'!F140+NPV(0.05,'TCO TO BE- SW'!F141:F149)</f>
        <v>647569.16099773231</v>
      </c>
      <c r="E13" s="637">
        <f>'TCO TO BE- SW'!G130+NPV(0.05,'TCO TO BE- SW'!G131:G139)+'TCO TO BE- SW'!G140+NPV(0.05,'TCO TO BE- SW'!G141:G149)</f>
        <v>489342.40362811787</v>
      </c>
      <c r="F13" s="637">
        <f>'TCO TO BE- SW'!H130+NPV(0.05,'TCO TO BE- SW'!H131:H139)+'TCO TO BE- SW'!H140+NPV(0.05,'TCO TO BE- SW'!H141:H149)</f>
        <v>0</v>
      </c>
      <c r="G13" s="638">
        <f>'TCO TO BE- SW'!I130+NPV(0.05,'TCO TO BE- SW'!I131:I139)+'TCO TO BE- SW'!I140+NPV(0.05,'TCO TO BE- SW'!I141:I149)</f>
        <v>0</v>
      </c>
      <c r="H13" s="637">
        <f>'TCO TO BE- SW'!T130+NPV(0.05,'TCO TO BE- SW'!T131:T139)+'TCO TO BE- SW'!T140+NPV(0.05,'TCO TO BE- SW'!T141:T149)</f>
        <v>0</v>
      </c>
      <c r="I13" s="561">
        <f>SUM(D13:H13)</f>
        <v>1136911.5646258502</v>
      </c>
      <c r="M13" s="375"/>
      <c r="N13" s="373" t="s">
        <v>320</v>
      </c>
      <c r="O13" s="374"/>
      <c r="P13" s="637">
        <f>'TCO TO BE- SW'!F129</f>
        <v>678900</v>
      </c>
      <c r="Q13" s="637">
        <f>'TCO TO BE- SW'!G129</f>
        <v>509000</v>
      </c>
      <c r="R13" s="637">
        <f>'TCO TO BE- SW'!H129</f>
        <v>0</v>
      </c>
      <c r="S13" s="638">
        <f>'TCO TO BE- SW'!I129</f>
        <v>0</v>
      </c>
      <c r="T13" s="637">
        <f>'TCO TO BE- SW'!T129</f>
        <v>0</v>
      </c>
      <c r="U13" s="561">
        <f>SUM(P13:T13)</f>
        <v>1187900</v>
      </c>
    </row>
    <row r="14" spans="1:21" x14ac:dyDescent="0.25">
      <c r="A14" s="375"/>
      <c r="B14" s="373" t="s">
        <v>350</v>
      </c>
      <c r="C14" s="374"/>
      <c r="D14" s="637">
        <f>'TCO TO BE- SW'!F151+NPV(0.05,'TCO TO BE- SW'!F152:F160)+'TCO TO BE- SW'!F161+NPV(0.05,'TCO TO BE- SW'!F162:F170)</f>
        <v>0</v>
      </c>
      <c r="E14" s="637">
        <f>'TCO TO BE- SW'!G151+NPV(0.05,'TCO TO BE- SW'!G152:G160)+'TCO TO BE- SW'!G161+NPV(0.05,'TCO TO BE- SW'!G162:G170)</f>
        <v>0</v>
      </c>
      <c r="F14" s="637">
        <f>'TCO TO BE- SW'!H151+NPV(0.05,'TCO TO BE- SW'!H152:H160)+'TCO TO BE- SW'!H161+NPV(0.05,'TCO TO BE- SW'!H162:H170)</f>
        <v>0</v>
      </c>
      <c r="G14" s="638">
        <f>'TCO TO BE- SW'!I151+NPV(0.05,'TCO TO BE- SW'!I152:I160)+'TCO TO BE- SW'!I161+NPV(0.05,'TCO TO BE- SW'!I162:I170)</f>
        <v>0</v>
      </c>
      <c r="H14" s="637">
        <f>'TCO TO BE- SW'!T151+NPV(0.05,'TCO TO BE- SW'!T152:T160)+'TCO TO BE- SW'!T161+NPV(0.05,'TCO TO BE- SW'!T162:T170)</f>
        <v>0</v>
      </c>
      <c r="I14" s="561">
        <f>SUM(D14:H14)</f>
        <v>0</v>
      </c>
      <c r="M14" s="375"/>
      <c r="N14" s="373" t="s">
        <v>350</v>
      </c>
      <c r="O14" s="374"/>
      <c r="P14" s="637">
        <f>'TCO TO BE- SW'!F150</f>
        <v>0</v>
      </c>
      <c r="Q14" s="637">
        <f>'TCO TO BE- SW'!G150</f>
        <v>0</v>
      </c>
      <c r="R14" s="637">
        <f>'TCO TO BE- SW'!H150</f>
        <v>0</v>
      </c>
      <c r="S14" s="638">
        <f>'TCO TO BE- SW'!I150</f>
        <v>0</v>
      </c>
      <c r="T14" s="637">
        <f>'TCO TO BE- SW'!T150</f>
        <v>0</v>
      </c>
      <c r="U14" s="561">
        <f>SUM(P14:T14)</f>
        <v>0</v>
      </c>
    </row>
    <row r="15" spans="1:21" x14ac:dyDescent="0.25">
      <c r="A15" s="367" t="s">
        <v>214</v>
      </c>
      <c r="B15" s="368"/>
      <c r="C15" s="369"/>
      <c r="D15" s="556">
        <f>D16+D19</f>
        <v>6562254.8497135919</v>
      </c>
      <c r="E15" s="556">
        <f>E16+E19</f>
        <v>0</v>
      </c>
      <c r="F15" s="556">
        <f>F16+F19</f>
        <v>0</v>
      </c>
      <c r="G15" s="557">
        <f>G16+G19</f>
        <v>0</v>
      </c>
      <c r="H15" s="636" t="s">
        <v>221</v>
      </c>
      <c r="I15" s="558">
        <f>SUM(D15:G15)</f>
        <v>6562254.8497135919</v>
      </c>
      <c r="M15" s="367" t="s">
        <v>214</v>
      </c>
      <c r="N15" s="368"/>
      <c r="O15" s="369"/>
      <c r="P15" s="370">
        <f>P16+P19</f>
        <v>8631629.2969540283</v>
      </c>
      <c r="Q15" s="370">
        <f>Q16+Q19</f>
        <v>0</v>
      </c>
      <c r="R15" s="370">
        <f>R16+R19</f>
        <v>0</v>
      </c>
      <c r="S15" s="371">
        <f>S16+S19</f>
        <v>0</v>
      </c>
      <c r="T15" s="636" t="s">
        <v>221</v>
      </c>
      <c r="U15" s="535">
        <f>SUM(P15:S15)</f>
        <v>8631629.2969540283</v>
      </c>
    </row>
    <row r="16" spans="1:21" x14ac:dyDescent="0.25">
      <c r="A16" s="372"/>
      <c r="B16" s="373" t="s">
        <v>17</v>
      </c>
      <c r="C16" s="374"/>
      <c r="D16" s="559">
        <f>D17+D18</f>
        <v>0</v>
      </c>
      <c r="E16" s="559">
        <f>E17+E18</f>
        <v>0</v>
      </c>
      <c r="F16" s="559">
        <f>F17+F18</f>
        <v>0</v>
      </c>
      <c r="G16" s="560">
        <f>G17+G18</f>
        <v>0</v>
      </c>
      <c r="H16" s="634" t="s">
        <v>221</v>
      </c>
      <c r="I16" s="561">
        <f>SUM(D16:G16)</f>
        <v>0</v>
      </c>
      <c r="M16" s="372"/>
      <c r="N16" s="373" t="s">
        <v>17</v>
      </c>
      <c r="O16" s="374"/>
      <c r="P16" s="559">
        <f>P17+P18</f>
        <v>0</v>
      </c>
      <c r="Q16" s="559">
        <f>Q17+Q18</f>
        <v>0</v>
      </c>
      <c r="R16" s="559">
        <f>R17+R18</f>
        <v>0</v>
      </c>
      <c r="S16" s="560">
        <f>S17+S18</f>
        <v>0</v>
      </c>
      <c r="T16" s="634" t="s">
        <v>221</v>
      </c>
      <c r="U16" s="561">
        <f>SUM(P16:S16)</f>
        <v>0</v>
      </c>
    </row>
    <row r="17" spans="1:22" x14ac:dyDescent="0.25">
      <c r="A17" s="375"/>
      <c r="B17" s="376"/>
      <c r="C17" s="377" t="s">
        <v>47</v>
      </c>
      <c r="D17" s="562">
        <f>'Parametre - Agendové IS'!I137+NPV(Faktory!$D$3,'Parametre - Agendové IS'!I138:I146)</f>
        <v>0</v>
      </c>
      <c r="E17" s="562">
        <f>'Parametre - Agendové IS'!L137+NPV(Faktory!$D$3,'Parametre - Agendové IS'!L138:L146)</f>
        <v>0</v>
      </c>
      <c r="F17" s="562">
        <f>'Parametre - Agendové IS'!O137+NPV(Faktory!$D$3,'Parametre - Agendové IS'!O138:O146)</f>
        <v>0</v>
      </c>
      <c r="G17" s="563">
        <f>'Parametre - Agendové IS'!AS137+NPV(Faktory!$D$3,'Parametre - Agendové IS'!AS138:AS146)</f>
        <v>0</v>
      </c>
      <c r="H17" s="565" t="s">
        <v>221</v>
      </c>
      <c r="I17" s="564">
        <f>SUM(D17:G17)</f>
        <v>0</v>
      </c>
      <c r="M17" s="375"/>
      <c r="N17" s="376"/>
      <c r="O17" s="377" t="s">
        <v>47</v>
      </c>
      <c r="P17" s="562">
        <f>SUM('Parametre - Agendové IS'!I137:I146)</f>
        <v>0</v>
      </c>
      <c r="Q17" s="562">
        <f>SUM('Parametre - Agendové IS'!L137:L146)</f>
        <v>0</v>
      </c>
      <c r="R17" s="562">
        <f>SUM('Parametre - Agendové IS'!O137:O146)</f>
        <v>0</v>
      </c>
      <c r="S17" s="563">
        <f>SUM('Parametre - Agendové IS'!AS137:AS146)</f>
        <v>0</v>
      </c>
      <c r="T17" s="565" t="s">
        <v>221</v>
      </c>
      <c r="U17" s="564">
        <f>SUM(P17:S17)</f>
        <v>0</v>
      </c>
    </row>
    <row r="18" spans="1:22" x14ac:dyDescent="0.25">
      <c r="A18" s="375"/>
      <c r="B18" s="376"/>
      <c r="C18" s="377" t="s">
        <v>48</v>
      </c>
      <c r="D18" s="562"/>
      <c r="E18" s="562"/>
      <c r="F18" s="562"/>
      <c r="G18" s="563"/>
      <c r="H18" s="565" t="s">
        <v>221</v>
      </c>
      <c r="I18" s="564">
        <f>'Prínosy - Agendové IS'!G15</f>
        <v>0</v>
      </c>
      <c r="J18" s="536"/>
      <c r="M18" s="375"/>
      <c r="N18" s="376"/>
      <c r="O18" s="377" t="s">
        <v>48</v>
      </c>
      <c r="P18" s="562"/>
      <c r="Q18" s="562"/>
      <c r="R18" s="562"/>
      <c r="S18" s="563"/>
      <c r="T18" s="565" t="s">
        <v>221</v>
      </c>
      <c r="U18" s="564">
        <f>'Prínosy - Agendové IS'!G14</f>
        <v>0</v>
      </c>
      <c r="V18" s="536"/>
    </row>
    <row r="19" spans="1:22" x14ac:dyDescent="0.25">
      <c r="A19" s="372"/>
      <c r="B19" s="373" t="s">
        <v>18</v>
      </c>
      <c r="C19" s="374"/>
      <c r="D19" s="559">
        <f>D20+D21+D23</f>
        <v>6562254.8497135919</v>
      </c>
      <c r="E19" s="559">
        <f>E20+E21+E23</f>
        <v>0</v>
      </c>
      <c r="F19" s="559">
        <f>F20+F21+F23</f>
        <v>0</v>
      </c>
      <c r="G19" s="560">
        <f>G20+G21+G23</f>
        <v>0</v>
      </c>
      <c r="H19" s="634" t="s">
        <v>221</v>
      </c>
      <c r="I19" s="561">
        <f>SUM(D19:G19)</f>
        <v>6562254.8497135919</v>
      </c>
      <c r="M19" s="372"/>
      <c r="N19" s="373" t="s">
        <v>18</v>
      </c>
      <c r="O19" s="374"/>
      <c r="P19" s="559">
        <f>P20+P21+P23</f>
        <v>8631629.2969540283</v>
      </c>
      <c r="Q19" s="559">
        <f>Q20+Q21+Q23</f>
        <v>0</v>
      </c>
      <c r="R19" s="559">
        <f>R20+R21+R23</f>
        <v>0</v>
      </c>
      <c r="S19" s="560">
        <f>S20+S21+S23</f>
        <v>0</v>
      </c>
      <c r="T19" s="634" t="s">
        <v>221</v>
      </c>
      <c r="U19" s="561">
        <f>SUM(P19:S19)</f>
        <v>8631629.2969540283</v>
      </c>
    </row>
    <row r="20" spans="1:22" x14ac:dyDescent="0.25">
      <c r="A20" s="375"/>
      <c r="B20" s="376"/>
      <c r="C20" s="377" t="s">
        <v>216</v>
      </c>
      <c r="D20" s="562">
        <f>'Parametre - Agendové IS'!I117+NPV(Faktory!$D$5,'Parametre - Agendové IS'!I118:I126)</f>
        <v>-103816.94917599198</v>
      </c>
      <c r="E20" s="562">
        <f>'Parametre - Agendové IS'!L117+NPV(Faktory!$D$5,'Parametre - Agendové IS'!L118:L126)</f>
        <v>0</v>
      </c>
      <c r="F20" s="562">
        <f>'Parametre - Agendové IS'!O117+NPV(Faktory!$D$5,'Parametre - Agendové IS'!O118:O126)</f>
        <v>0</v>
      </c>
      <c r="G20" s="563">
        <f>'Parametre - Agendové IS'!AS117+NPV(Faktory!$D$5,'Parametre - Agendové IS'!AS118:AS126)</f>
        <v>0</v>
      </c>
      <c r="H20" s="565" t="s">
        <v>221</v>
      </c>
      <c r="I20" s="564">
        <f>SUM(D20:G20)</f>
        <v>-103816.94917599198</v>
      </c>
      <c r="M20" s="375"/>
      <c r="N20" s="376"/>
      <c r="O20" s="377" t="s">
        <v>216</v>
      </c>
      <c r="P20" s="562">
        <f>SUM('Parametre - Agendové IS'!I117:I126)</f>
        <v>-136555.10804597754</v>
      </c>
      <c r="Q20" s="562">
        <f>SUM('Parametre - Agendové IS'!L117:L126)</f>
        <v>0</v>
      </c>
      <c r="R20" s="562">
        <f>SUM('Parametre - Agendové IS'!O117:O126)</f>
        <v>0</v>
      </c>
      <c r="S20" s="563">
        <f>SUM('Parametre - Agendové IS'!AS117:AS126)</f>
        <v>0</v>
      </c>
      <c r="T20" s="565" t="s">
        <v>221</v>
      </c>
      <c r="U20" s="564">
        <f>SUM(P20:S20)</f>
        <v>-136555.10804597754</v>
      </c>
    </row>
    <row r="21" spans="1:22" x14ac:dyDescent="0.25">
      <c r="A21" s="375"/>
      <c r="B21" s="376"/>
      <c r="C21" s="377" t="s">
        <v>215</v>
      </c>
      <c r="D21" s="562">
        <f>-('Parametre - Agendové IS'!I97+NPV(Faktory!$D$5,'Parametre - Agendové IS'!I98:I106))</f>
        <v>6666071.7988895839</v>
      </c>
      <c r="E21" s="562">
        <f>-('Parametre - Agendové IS'!L97+NPV(Faktory!$D$5,'Parametre - Agendové IS'!L98:L106))</f>
        <v>0</v>
      </c>
      <c r="F21" s="562">
        <f>-('Parametre - Agendové IS'!O97+NPV(Faktory!$D$5,'Parametre - Agendové IS'!O98:O106))</f>
        <v>0</v>
      </c>
      <c r="G21" s="563">
        <f>-('Parametre - Agendové IS'!AS97+NPV(Faktory!$D$5,'Parametre - Agendové IS'!AS98:AS106))</f>
        <v>0</v>
      </c>
      <c r="H21" s="565" t="s">
        <v>221</v>
      </c>
      <c r="I21" s="564">
        <f>SUM(D21:G21)</f>
        <v>6666071.7988895839</v>
      </c>
      <c r="M21" s="375"/>
      <c r="N21" s="376"/>
      <c r="O21" s="377" t="s">
        <v>215</v>
      </c>
      <c r="P21" s="562">
        <f>-(SUM('Parametre - Agendové IS'!I97:I106))</f>
        <v>8768184.4050000049</v>
      </c>
      <c r="Q21" s="562">
        <f>-(SUM('Parametre - Agendové IS'!L97:L106))</f>
        <v>0</v>
      </c>
      <c r="R21" s="562">
        <f>-(SUM('Parametre - Agendové IS'!O97:O106))</f>
        <v>0</v>
      </c>
      <c r="S21" s="563">
        <f>-(SUM('Parametre - Agendové IS'!AS97:AS106))</f>
        <v>0</v>
      </c>
      <c r="T21" s="565" t="s">
        <v>221</v>
      </c>
      <c r="U21" s="564">
        <f>SUM(P21:S21)</f>
        <v>8768184.4050000049</v>
      </c>
    </row>
    <row r="22" spans="1:22" x14ac:dyDescent="0.25">
      <c r="A22" s="375"/>
      <c r="B22" s="376"/>
      <c r="C22" s="377" t="s">
        <v>217</v>
      </c>
      <c r="D22" s="565" t="s">
        <v>221</v>
      </c>
      <c r="E22" s="565" t="s">
        <v>221</v>
      </c>
      <c r="F22" s="565" t="s">
        <v>221</v>
      </c>
      <c r="G22" s="566" t="s">
        <v>221</v>
      </c>
      <c r="H22" s="565" t="s">
        <v>221</v>
      </c>
      <c r="I22" s="567" t="s">
        <v>221</v>
      </c>
      <c r="M22" s="375"/>
      <c r="N22" s="376"/>
      <c r="O22" s="377" t="s">
        <v>217</v>
      </c>
      <c r="P22" s="562">
        <f>SUM('Parametre - Agendové IS'!I107:I116)</f>
        <v>0</v>
      </c>
      <c r="Q22" s="562">
        <f>SUM('Parametre - Agendové IS'!L107:L116)</f>
        <v>0</v>
      </c>
      <c r="R22" s="562">
        <f>SUM('Parametre - Agendové IS'!O107:O116)</f>
        <v>0</v>
      </c>
      <c r="S22" s="563">
        <f>SUM('Parametre - Agendové IS'!AS107:AS116)</f>
        <v>0</v>
      </c>
      <c r="T22" s="565" t="s">
        <v>221</v>
      </c>
      <c r="U22" s="564">
        <f>SUM(P22:S22)</f>
        <v>0</v>
      </c>
    </row>
    <row r="23" spans="1:22" ht="15.75" thickBot="1" x14ac:dyDescent="0.3">
      <c r="A23" s="378"/>
      <c r="B23" s="379"/>
      <c r="C23" s="380" t="s">
        <v>39</v>
      </c>
      <c r="D23" s="568">
        <f>'Parametre - Agendové IS'!I147+NPV(Faktory!$D$5,'Parametre - Agendové IS'!I148:I156)</f>
        <v>0</v>
      </c>
      <c r="E23" s="568">
        <f>'Parametre - Agendové IS'!L147+NPV(Faktory!$D$5,'Parametre - Agendové IS'!L148:L156)</f>
        <v>0</v>
      </c>
      <c r="F23" s="568">
        <f>'Parametre - Agendové IS'!O147+NPV(Faktory!$D$5,'Parametre - Agendové IS'!O148:O156)</f>
        <v>0</v>
      </c>
      <c r="G23" s="569">
        <f>'Parametre - Agendové IS'!AS147+NPV(Faktory!$D$5,'Parametre - Agendové IS'!AS148:AS156)</f>
        <v>0</v>
      </c>
      <c r="H23" s="635" t="s">
        <v>221</v>
      </c>
      <c r="I23" s="570">
        <f>SUM(D23:G23)</f>
        <v>0</v>
      </c>
      <c r="M23" s="375"/>
      <c r="N23" s="376"/>
      <c r="O23" s="377" t="s">
        <v>39</v>
      </c>
      <c r="P23" s="562">
        <f>SUM('Parametre - Agendové IS'!I147:I156)</f>
        <v>0</v>
      </c>
      <c r="Q23" s="562">
        <f>SUM('Parametre - Agendové IS'!L147:L156)</f>
        <v>0</v>
      </c>
      <c r="R23" s="562">
        <f>SUM('Parametre - Agendové IS'!O147:O156)</f>
        <v>0</v>
      </c>
      <c r="S23" s="563">
        <f>SUM('Parametre - Agendové IS'!AS147:AS156)</f>
        <v>0</v>
      </c>
      <c r="T23" s="635" t="s">
        <v>221</v>
      </c>
      <c r="U23" s="571">
        <f>SUM(P23:S23)</f>
        <v>0</v>
      </c>
    </row>
    <row r="24" spans="1:22" x14ac:dyDescent="0.25">
      <c r="A24" s="537"/>
      <c r="B24" s="373" t="s">
        <v>222</v>
      </c>
      <c r="C24" s="374"/>
      <c r="D24" s="632"/>
      <c r="E24" s="633"/>
      <c r="F24" s="633"/>
      <c r="G24" s="633"/>
      <c r="H24" s="639"/>
      <c r="I24" s="640"/>
      <c r="M24" s="537"/>
      <c r="N24" s="373" t="s">
        <v>222</v>
      </c>
      <c r="O24" s="374"/>
      <c r="P24" s="632"/>
      <c r="Q24" s="633"/>
      <c r="R24" s="633"/>
      <c r="S24" s="633"/>
      <c r="T24" s="639"/>
      <c r="U24" s="640"/>
    </row>
    <row r="25" spans="1:22" x14ac:dyDescent="0.25">
      <c r="A25" s="538"/>
      <c r="B25" s="539"/>
      <c r="C25" s="540" t="s">
        <v>226</v>
      </c>
      <c r="D25" s="541"/>
      <c r="E25" s="541"/>
      <c r="F25" s="541"/>
      <c r="G25" s="541"/>
      <c r="H25" s="541"/>
      <c r="I25" s="541"/>
      <c r="M25" s="538"/>
      <c r="N25" s="539"/>
      <c r="O25" s="540" t="s">
        <v>226</v>
      </c>
      <c r="P25" s="541"/>
      <c r="Q25" s="541"/>
      <c r="R25" s="541"/>
      <c r="S25" s="541"/>
      <c r="T25" s="541"/>
      <c r="U25" s="541"/>
    </row>
    <row r="26" spans="1:22" x14ac:dyDescent="0.25">
      <c r="A26" s="538"/>
      <c r="B26" s="539"/>
      <c r="C26" s="542" t="s">
        <v>223</v>
      </c>
      <c r="D26" s="541"/>
      <c r="E26" s="541"/>
      <c r="F26" s="541"/>
      <c r="G26" s="541"/>
      <c r="H26" s="541"/>
      <c r="I26" s="541"/>
      <c r="M26" s="538"/>
      <c r="N26" s="539"/>
      <c r="O26" s="542" t="s">
        <v>223</v>
      </c>
      <c r="P26" s="541"/>
      <c r="Q26" s="541"/>
      <c r="R26" s="541"/>
      <c r="S26" s="541"/>
      <c r="T26" s="541"/>
      <c r="U26" s="541"/>
    </row>
    <row r="27" spans="1:22" x14ac:dyDescent="0.25">
      <c r="A27" s="538"/>
      <c r="B27" s="539"/>
      <c r="C27" s="542" t="s">
        <v>223</v>
      </c>
      <c r="D27" s="541"/>
      <c r="E27" s="541"/>
      <c r="F27" s="541"/>
      <c r="G27" s="541"/>
      <c r="H27" s="541"/>
      <c r="I27" s="541"/>
      <c r="M27" s="538"/>
      <c r="N27" s="539"/>
      <c r="O27" s="542" t="s">
        <v>223</v>
      </c>
      <c r="P27" s="541"/>
      <c r="Q27" s="541"/>
      <c r="R27" s="541"/>
      <c r="S27" s="541"/>
      <c r="T27" s="541"/>
      <c r="U27" s="541"/>
    </row>
    <row r="28" spans="1:22" x14ac:dyDescent="0.25">
      <c r="C28" s="543"/>
      <c r="O28" s="543"/>
    </row>
    <row r="29" spans="1:22" x14ac:dyDescent="0.25">
      <c r="C29" s="543"/>
      <c r="O29" s="543"/>
    </row>
    <row r="30" spans="1:22" x14ac:dyDescent="0.25">
      <c r="C30" s="543"/>
    </row>
    <row r="32" spans="1:22" x14ac:dyDescent="0.25">
      <c r="L32" s="544"/>
      <c r="M32" s="544"/>
    </row>
  </sheetData>
  <sheetProtection insertColumns="0" insertRows="0" deleteColumns="0" deleteRows="0"/>
  <mergeCells count="4">
    <mergeCell ref="M1:O1"/>
    <mergeCell ref="A1:C1"/>
    <mergeCell ref="M2:O2"/>
    <mergeCell ref="A2:C2"/>
  </mergeCells>
  <pageMargins left="0.7" right="0.7" top="0.75" bottom="0.75" header="0.3" footer="0.3"/>
  <pageSetup paperSize="9" scale="53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view="pageBreakPreview" zoomScaleNormal="100" zoomScaleSheetLayoutView="100" workbookViewId="0">
      <selection activeCell="F9" sqref="A9:XFD9"/>
    </sheetView>
  </sheetViews>
  <sheetFormatPr defaultColWidth="8.85546875" defaultRowHeight="15" x14ac:dyDescent="0.25"/>
  <cols>
    <col min="1" max="1" width="9.28515625" customWidth="1"/>
    <col min="2" max="2" width="24.7109375" bestFit="1" customWidth="1"/>
    <col min="3" max="3" width="23.140625" bestFit="1" customWidth="1"/>
    <col min="4" max="4" width="22.5703125" bestFit="1" customWidth="1"/>
    <col min="5" max="5" width="24.7109375" bestFit="1" customWidth="1"/>
    <col min="6" max="6" width="23.140625" bestFit="1" customWidth="1"/>
    <col min="7" max="7" width="22.5703125" bestFit="1" customWidth="1"/>
    <col min="8" max="8" width="9.85546875" customWidth="1"/>
    <col min="9" max="9" width="22.7109375" customWidth="1"/>
    <col min="10" max="10" width="22.140625" customWidth="1"/>
    <col min="11" max="11" width="22.5703125" bestFit="1" customWidth="1"/>
    <col min="12" max="12" width="23.140625" customWidth="1"/>
  </cols>
  <sheetData>
    <row r="1" spans="1:12" ht="15.75" thickBot="1" x14ac:dyDescent="0.3">
      <c r="A1" s="9"/>
      <c r="B1" s="763" t="s">
        <v>36</v>
      </c>
      <c r="C1" s="764"/>
      <c r="D1" s="764"/>
      <c r="E1" s="764"/>
      <c r="F1" s="764"/>
      <c r="G1" s="765"/>
      <c r="H1" s="766" t="s">
        <v>16</v>
      </c>
      <c r="I1" s="767"/>
      <c r="J1" s="767"/>
      <c r="K1" s="767"/>
      <c r="L1" s="768"/>
    </row>
    <row r="2" spans="1:12" ht="30" x14ac:dyDescent="0.25">
      <c r="A2" s="10"/>
      <c r="B2" s="766" t="s">
        <v>362</v>
      </c>
      <c r="C2" s="767"/>
      <c r="D2" s="768"/>
      <c r="E2" s="766" t="s">
        <v>363</v>
      </c>
      <c r="F2" s="767"/>
      <c r="G2" s="768"/>
      <c r="H2" s="54" t="s">
        <v>19</v>
      </c>
      <c r="I2" s="49" t="s">
        <v>20</v>
      </c>
      <c r="J2" s="12" t="s">
        <v>21</v>
      </c>
      <c r="K2" s="769" t="s">
        <v>22</v>
      </c>
      <c r="L2" s="770"/>
    </row>
    <row r="3" spans="1:12" ht="15.75" thickBot="1" x14ac:dyDescent="0.3">
      <c r="A3" s="11" t="s">
        <v>23</v>
      </c>
      <c r="B3" s="14" t="s">
        <v>227</v>
      </c>
      <c r="C3" s="15" t="s">
        <v>170</v>
      </c>
      <c r="D3" s="16" t="s">
        <v>24</v>
      </c>
      <c r="E3" s="14" t="s">
        <v>227</v>
      </c>
      <c r="F3" s="15" t="s">
        <v>170</v>
      </c>
      <c r="G3" s="16" t="s">
        <v>24</v>
      </c>
      <c r="H3" s="55"/>
      <c r="I3" s="50"/>
      <c r="J3" s="13"/>
      <c r="K3" s="761"/>
      <c r="L3" s="762"/>
    </row>
    <row r="4" spans="1:12" x14ac:dyDescent="0.25">
      <c r="A4" s="48" t="s">
        <v>25</v>
      </c>
      <c r="B4" s="27">
        <f>'Prínosy - Agendové IS'!T4-'Výdavky - Agendové IS'!T4</f>
        <v>0</v>
      </c>
      <c r="C4" s="26">
        <f>'Prínosy - Agendové IS'!U4-'Výdavky - Agendové IS'!U4</f>
        <v>-8567551.1999999993</v>
      </c>
      <c r="D4" s="33">
        <f t="shared" ref="D4:D13" si="0">C4-B4</f>
        <v>-8567551.1999999993</v>
      </c>
      <c r="E4" s="27">
        <f>'Prínosy - Agendové IS'!W4-('Výdavky - Agendové IS'!T4/1.2)</f>
        <v>0</v>
      </c>
      <c r="F4" s="27">
        <f>'Prínosy - Agendové IS'!X4-('Výdavky - Agendové IS'!U4/1.2)</f>
        <v>-7139626</v>
      </c>
      <c r="G4" s="33">
        <f t="shared" ref="G4:G13" si="1">F4-E4</f>
        <v>-7139626</v>
      </c>
      <c r="H4" s="56">
        <v>0</v>
      </c>
      <c r="I4" s="51">
        <f>D4*(1/(1+Faktory!$D$3)^H4)</f>
        <v>-8567551.1999999993</v>
      </c>
      <c r="J4" s="58">
        <f>G4*(1/(1+Faktory!$D$5)^H4)</f>
        <v>-7139626</v>
      </c>
      <c r="K4" s="57">
        <f>J4</f>
        <v>-7139626</v>
      </c>
      <c r="L4" s="30" t="str">
        <f>IF(K4&gt;0,"Rok návratu investície","&lt;")</f>
        <v>&lt;</v>
      </c>
    </row>
    <row r="5" spans="1:12" x14ac:dyDescent="0.25">
      <c r="A5" s="32" t="s">
        <v>26</v>
      </c>
      <c r="B5" s="27">
        <f>'Prínosy - Agendové IS'!T5-'Výdavky - Agendové IS'!T5</f>
        <v>0</v>
      </c>
      <c r="C5" s="26">
        <f>'Prínosy - Agendové IS'!U5-'Výdavky - Agendové IS'!U5</f>
        <v>-8039768.3000000007</v>
      </c>
      <c r="D5" s="29">
        <f t="shared" si="0"/>
        <v>-8039768.3000000007</v>
      </c>
      <c r="E5" s="27">
        <f>'Prínosy - Agendové IS'!W5-('Výdavky - Agendové IS'!T5/1.2)</f>
        <v>0</v>
      </c>
      <c r="F5" s="27">
        <f>'Prínosy - Agendové IS'!X5-('Výdavky - Agendové IS'!U5/1.2)</f>
        <v>-6699806.9166666679</v>
      </c>
      <c r="G5" s="29">
        <f t="shared" si="1"/>
        <v>-6699806.9166666679</v>
      </c>
      <c r="H5" s="56">
        <v>1</v>
      </c>
      <c r="I5" s="52">
        <f>D5*(1/(1+Faktory!$D$3)^H5)</f>
        <v>-7730546.442307692</v>
      </c>
      <c r="J5" s="59">
        <f>G5*(1/(1+Faktory!$D$5)^H5)</f>
        <v>-6380768.4920634925</v>
      </c>
      <c r="K5" s="57">
        <f t="shared" ref="K5:K13" si="2">J5+K4</f>
        <v>-13520394.492063493</v>
      </c>
      <c r="L5" s="30" t="str">
        <f t="shared" ref="L5:L13" si="3">IF(L4="&lt;",IF(K5&gt;0,"Rok návratu investície","&lt;"),"&gt;")</f>
        <v>&lt;</v>
      </c>
    </row>
    <row r="6" spans="1:12" x14ac:dyDescent="0.25">
      <c r="A6" s="32" t="s">
        <v>27</v>
      </c>
      <c r="B6" s="27">
        <f>'Prínosy - Agendové IS'!T6-'Výdavky - Agendové IS'!T6</f>
        <v>0</v>
      </c>
      <c r="C6" s="26">
        <f>'Prínosy - Agendové IS'!U6-'Výdavky - Agendové IS'!U6</f>
        <v>-2389001.2000000002</v>
      </c>
      <c r="D6" s="29">
        <f t="shared" si="0"/>
        <v>-2389001.2000000002</v>
      </c>
      <c r="E6" s="27">
        <f>'Prínosy - Agendové IS'!W6-('Výdavky - Agendové IS'!T6/1.2)</f>
        <v>-14330555.12804598</v>
      </c>
      <c r="F6" s="27">
        <f>'Prínosy - Agendové IS'!X6-('Výdavky - Agendové IS'!U6/1.2)</f>
        <v>-13348331.40550958</v>
      </c>
      <c r="G6" s="29">
        <f t="shared" si="1"/>
        <v>982223.72253639996</v>
      </c>
      <c r="H6" s="56">
        <v>2</v>
      </c>
      <c r="I6" s="52">
        <f>D6*(1/(1+Faktory!$D$3)^H6)</f>
        <v>-2208765.902366864</v>
      </c>
      <c r="J6" s="59">
        <f>G6*(1/(1+Faktory!$D$5)^H6)</f>
        <v>890905.87078131514</v>
      </c>
      <c r="K6" s="57">
        <f t="shared" si="2"/>
        <v>-12629488.621282177</v>
      </c>
      <c r="L6" s="30" t="str">
        <f t="shared" si="3"/>
        <v>&lt;</v>
      </c>
    </row>
    <row r="7" spans="1:12" x14ac:dyDescent="0.25">
      <c r="A7" s="32" t="s">
        <v>28</v>
      </c>
      <c r="B7" s="27">
        <f>'Prínosy - Agendové IS'!T7-'Výdavky - Agendové IS'!T7</f>
        <v>0</v>
      </c>
      <c r="C7" s="26">
        <f>'Prínosy - Agendové IS'!U7-'Výdavky - Agendové IS'!U7</f>
        <v>-997310.7</v>
      </c>
      <c r="D7" s="29">
        <f t="shared" si="0"/>
        <v>-997310.7</v>
      </c>
      <c r="E7" s="27">
        <f>'Prínosy - Agendové IS'!W7-('Výdavky - Agendové IS'!T7/1.2)</f>
        <v>-28661110.25609196</v>
      </c>
      <c r="F7" s="27">
        <f>'Prínosy - Agendové IS'!X7-('Výdavky - Agendové IS'!U7/1.2)</f>
        <v>-23546086.394352492</v>
      </c>
      <c r="G7" s="29">
        <f t="shared" si="1"/>
        <v>5115023.8617394678</v>
      </c>
      <c r="H7" s="56">
        <v>3</v>
      </c>
      <c r="I7" s="52">
        <f>D7*(1/(1+Faktory!$D$3)^H7)</f>
        <v>-886605.58076354116</v>
      </c>
      <c r="J7" s="59">
        <f>G7*(1/(1+Faktory!$D$5)^H7)</f>
        <v>4418549.9291562187</v>
      </c>
      <c r="K7" s="57">
        <f t="shared" si="2"/>
        <v>-8210938.6921259584</v>
      </c>
      <c r="L7" s="30" t="str">
        <f t="shared" si="3"/>
        <v>&lt;</v>
      </c>
    </row>
    <row r="8" spans="1:12" x14ac:dyDescent="0.25">
      <c r="A8" s="32" t="s">
        <v>29</v>
      </c>
      <c r="B8" s="27">
        <f>'Prínosy - Agendové IS'!T8-'Výdavky - Agendové IS'!T8</f>
        <v>0</v>
      </c>
      <c r="C8" s="26">
        <f>'Prínosy - Agendové IS'!U8-'Výdavky - Agendové IS'!U8</f>
        <v>-997310.7</v>
      </c>
      <c r="D8" s="29">
        <f t="shared" si="0"/>
        <v>-997310.7</v>
      </c>
      <c r="E8" s="27">
        <f>'Prínosy - Agendové IS'!W8-('Výdavky - Agendové IS'!T8/1.2)</f>
        <v>-28661110.25609196</v>
      </c>
      <c r="F8" s="27">
        <f>'Prínosy - Agendové IS'!X8-('Výdavky - Agendové IS'!U8/1.2)</f>
        <v>-23546086.394352492</v>
      </c>
      <c r="G8" s="29">
        <f t="shared" si="1"/>
        <v>5115023.8617394678</v>
      </c>
      <c r="H8" s="56">
        <v>4</v>
      </c>
      <c r="I8" s="52">
        <f>D8*(1/(1+Faktory!$D$3)^H8)</f>
        <v>-852505.36611878942</v>
      </c>
      <c r="J8" s="59">
        <f>G8*(1/(1+Faktory!$D$5)^H8)</f>
        <v>4208142.7896725889</v>
      </c>
      <c r="K8" s="57">
        <f t="shared" si="2"/>
        <v>-4002795.9024533695</v>
      </c>
      <c r="L8" s="30" t="str">
        <f t="shared" si="3"/>
        <v>&lt;</v>
      </c>
    </row>
    <row r="9" spans="1:12" x14ac:dyDescent="0.25">
      <c r="A9" s="32" t="s">
        <v>30</v>
      </c>
      <c r="B9" s="27">
        <f>'Prínosy - Agendové IS'!T9-'Výdavky - Agendové IS'!T9</f>
        <v>0</v>
      </c>
      <c r="C9" s="26">
        <f>'Prínosy - Agendové IS'!U9-'Výdavky - Agendové IS'!U9</f>
        <v>-997310.7</v>
      </c>
      <c r="D9" s="29">
        <f t="shared" si="0"/>
        <v>-997310.7</v>
      </c>
      <c r="E9" s="27">
        <f>'Prínosy - Agendové IS'!W9-('Výdavky - Agendové IS'!T9/1.2)</f>
        <v>-28661110.25609196</v>
      </c>
      <c r="F9" s="27">
        <f>'Prínosy - Agendové IS'!X9-('Výdavky - Agendové IS'!U9/1.2)</f>
        <v>-23546086.394352492</v>
      </c>
      <c r="G9" s="29">
        <f t="shared" si="1"/>
        <v>5115023.8617394678</v>
      </c>
      <c r="H9" s="56">
        <v>5</v>
      </c>
      <c r="I9" s="52">
        <f>D9*(1/(1+Faktory!$D$3)^H9)</f>
        <v>-819716.69819114357</v>
      </c>
      <c r="J9" s="59">
        <f>G9*(1/(1+Faktory!$D$5)^H9)</f>
        <v>4007755.0377834183</v>
      </c>
      <c r="K9" s="57">
        <f t="shared" si="2"/>
        <v>4959.1353300488554</v>
      </c>
      <c r="L9" s="30" t="str">
        <f t="shared" si="3"/>
        <v>Rok návratu investície</v>
      </c>
    </row>
    <row r="10" spans="1:12" x14ac:dyDescent="0.25">
      <c r="A10" s="32" t="s">
        <v>31</v>
      </c>
      <c r="B10" s="27">
        <f>'Prínosy - Agendové IS'!T10-'Výdavky - Agendové IS'!T10</f>
        <v>0</v>
      </c>
      <c r="C10" s="26">
        <f>'Prínosy - Agendové IS'!U10-'Výdavky - Agendové IS'!U10</f>
        <v>-997310.7</v>
      </c>
      <c r="D10" s="29">
        <f t="shared" si="0"/>
        <v>-997310.7</v>
      </c>
      <c r="E10" s="27">
        <f>'Prínosy - Agendové IS'!W10-('Výdavky - Agendové IS'!T10/1.2)</f>
        <v>-28661110.25609196</v>
      </c>
      <c r="F10" s="27">
        <f>'Prínosy - Agendové IS'!X10-('Výdavky - Agendové IS'!U10/1.2)</f>
        <v>-23546086.394352492</v>
      </c>
      <c r="G10" s="29">
        <f t="shared" si="1"/>
        <v>5115023.8617394678</v>
      </c>
      <c r="H10" s="56">
        <v>6</v>
      </c>
      <c r="I10" s="52">
        <f>D10*(1/(1+Faktory!$D$3)^H10)</f>
        <v>-788189.13287609955</v>
      </c>
      <c r="J10" s="59">
        <f>G10*(1/(1+Faktory!$D$5)^H10)</f>
        <v>3816909.5597937317</v>
      </c>
      <c r="K10" s="57">
        <f t="shared" si="2"/>
        <v>3821868.6951237805</v>
      </c>
      <c r="L10" s="30" t="str">
        <f t="shared" si="3"/>
        <v>&gt;</v>
      </c>
    </row>
    <row r="11" spans="1:12" x14ac:dyDescent="0.25">
      <c r="A11" s="32" t="s">
        <v>32</v>
      </c>
      <c r="B11" s="27">
        <f>'Prínosy - Agendové IS'!T11-'Výdavky - Agendové IS'!T11</f>
        <v>0</v>
      </c>
      <c r="C11" s="26">
        <f>'Prínosy - Agendové IS'!U11-'Výdavky - Agendové IS'!U11</f>
        <v>-997310.7</v>
      </c>
      <c r="D11" s="29">
        <f t="shared" si="0"/>
        <v>-997310.7</v>
      </c>
      <c r="E11" s="27">
        <f>'Prínosy - Agendové IS'!W11-('Výdavky - Agendové IS'!T11/1.2)</f>
        <v>-28661110.25609196</v>
      </c>
      <c r="F11" s="27">
        <f>'Prínosy - Agendové IS'!X11-('Výdavky - Agendové IS'!U11/1.2)</f>
        <v>-23546086.394352492</v>
      </c>
      <c r="G11" s="29">
        <f t="shared" si="1"/>
        <v>5115023.8617394678</v>
      </c>
      <c r="H11" s="56">
        <v>7</v>
      </c>
      <c r="I11" s="52">
        <f>D11*(1/(1+Faktory!$D$3)^H11)</f>
        <v>-757874.16622701893</v>
      </c>
      <c r="J11" s="59">
        <f>G11*(1/(1+Faktory!$D$5)^H11)</f>
        <v>3635151.9617083156</v>
      </c>
      <c r="K11" s="57">
        <f t="shared" si="2"/>
        <v>7457020.6568320962</v>
      </c>
      <c r="L11" s="30" t="str">
        <f t="shared" si="3"/>
        <v>&gt;</v>
      </c>
    </row>
    <row r="12" spans="1:12" x14ac:dyDescent="0.25">
      <c r="A12" s="32" t="s">
        <v>33</v>
      </c>
      <c r="B12" s="27">
        <f>'Prínosy - Agendové IS'!T12-'Výdavky - Agendové IS'!T12</f>
        <v>0</v>
      </c>
      <c r="C12" s="26">
        <f>'Prínosy - Agendové IS'!U12-'Výdavky - Agendové IS'!U12</f>
        <v>-997310.7</v>
      </c>
      <c r="D12" s="29">
        <f t="shared" si="0"/>
        <v>-997310.7</v>
      </c>
      <c r="E12" s="27">
        <f>'Prínosy - Agendové IS'!W12-('Výdavky - Agendové IS'!T12/1.2)</f>
        <v>-28661110.25609196</v>
      </c>
      <c r="F12" s="27">
        <f>'Prínosy - Agendové IS'!X12-('Výdavky - Agendové IS'!U12/1.2)</f>
        <v>-23546086.394352492</v>
      </c>
      <c r="G12" s="29">
        <f t="shared" si="1"/>
        <v>5115023.8617394678</v>
      </c>
      <c r="H12" s="56">
        <v>8</v>
      </c>
      <c r="I12" s="52">
        <f>D12*(1/(1+Faktory!$D$3)^H12)</f>
        <v>-728725.15983367187</v>
      </c>
      <c r="J12" s="59">
        <f>G12*(1/(1+Faktory!$D$5)^H12)</f>
        <v>3462049.4873412536</v>
      </c>
      <c r="K12" s="57">
        <f t="shared" si="2"/>
        <v>10919070.14417335</v>
      </c>
      <c r="L12" s="30" t="str">
        <f t="shared" si="3"/>
        <v>&gt;</v>
      </c>
    </row>
    <row r="13" spans="1:12" ht="15.75" thickBot="1" x14ac:dyDescent="0.3">
      <c r="A13" s="32" t="s">
        <v>34</v>
      </c>
      <c r="B13" s="47">
        <f>'Prínosy - Agendové IS'!T13-'Výdavky - Agendové IS'!T13</f>
        <v>0</v>
      </c>
      <c r="C13" s="43">
        <f>'Prínosy - Agendové IS'!U13-'Výdavky - Agendové IS'!U13</f>
        <v>-997310.7</v>
      </c>
      <c r="D13" s="34">
        <f t="shared" si="0"/>
        <v>-997310.7</v>
      </c>
      <c r="E13" s="27">
        <f>'Prínosy - Agendové IS'!W13-('Výdavky - Agendové IS'!T13/1.2)</f>
        <v>-28661110.25609196</v>
      </c>
      <c r="F13" s="27">
        <f>'Prínosy - Agendové IS'!X13-('Výdavky - Agendové IS'!U13/1.2)</f>
        <v>-23546086.394352492</v>
      </c>
      <c r="G13" s="34">
        <f t="shared" si="1"/>
        <v>5115023.8617394678</v>
      </c>
      <c r="H13" s="56">
        <v>9</v>
      </c>
      <c r="I13" s="53">
        <f>D13*(1/(1+Faktory!$D$3)^H13)</f>
        <v>-700697.26907083823</v>
      </c>
      <c r="J13" s="60">
        <f>G13*(1/(1+Faktory!$D$5)^H13)</f>
        <v>3297189.9879440502</v>
      </c>
      <c r="K13" s="57">
        <f t="shared" si="2"/>
        <v>14216260.1321174</v>
      </c>
      <c r="L13" s="30" t="str">
        <f t="shared" si="3"/>
        <v>&gt;</v>
      </c>
    </row>
    <row r="14" spans="1:12" ht="15.75" thickBot="1" x14ac:dyDescent="0.3">
      <c r="A14" s="62" t="s">
        <v>35</v>
      </c>
      <c r="B14" s="44">
        <f t="shared" ref="B14:G14" si="4">SUM(B4:B13)</f>
        <v>0</v>
      </c>
      <c r="C14" s="45">
        <f t="shared" si="4"/>
        <v>-25977495.599999994</v>
      </c>
      <c r="D14" s="45">
        <f t="shared" si="4"/>
        <v>-25977495.599999994</v>
      </c>
      <c r="E14" s="45">
        <f t="shared" si="4"/>
        <v>-214958326.92068967</v>
      </c>
      <c r="F14" s="45">
        <f t="shared" si="4"/>
        <v>-192010369.08264372</v>
      </c>
      <c r="G14" s="46">
        <f t="shared" si="4"/>
        <v>22947957.838046007</v>
      </c>
      <c r="H14" s="63" t="s">
        <v>35</v>
      </c>
      <c r="I14" s="191">
        <f>SUM(I4:I13)</f>
        <v>-24041176.91775566</v>
      </c>
      <c r="J14" s="192">
        <f>SUM(J4:J13)</f>
        <v>14216260.1321174</v>
      </c>
      <c r="K14" s="7"/>
      <c r="L14" s="7"/>
    </row>
    <row r="16" spans="1:12" ht="15.75" thickBot="1" x14ac:dyDescent="0.3">
      <c r="H16" s="107" t="s">
        <v>183</v>
      </c>
      <c r="J16" s="202" t="s">
        <v>172</v>
      </c>
      <c r="K16" s="202" t="s">
        <v>181</v>
      </c>
    </row>
    <row r="17" spans="5:11" s="146" customFormat="1" ht="15.75" thickBot="1" x14ac:dyDescent="0.25">
      <c r="H17" s="196" t="s">
        <v>123</v>
      </c>
      <c r="I17" s="198" t="s">
        <v>178</v>
      </c>
      <c r="J17" s="199">
        <f>'Prínosy - Agendové IS'!Y15/('Výdavky - Agendové IS'!V15/1.2)</f>
        <v>1.7220754400224583</v>
      </c>
      <c r="K17" s="203">
        <v>1</v>
      </c>
    </row>
    <row r="18" spans="5:11" s="146" customFormat="1" ht="23.25" thickBot="1" x14ac:dyDescent="0.25">
      <c r="H18" s="197" t="s">
        <v>175</v>
      </c>
      <c r="I18" s="198" t="s">
        <v>179</v>
      </c>
      <c r="J18" s="200" t="s">
        <v>357</v>
      </c>
      <c r="K18" s="204" t="s">
        <v>182</v>
      </c>
    </row>
    <row r="19" spans="5:11" s="146" customFormat="1" ht="23.25" thickBot="1" x14ac:dyDescent="0.25">
      <c r="E19" s="193"/>
      <c r="H19" s="197" t="s">
        <v>176</v>
      </c>
      <c r="I19" s="198" t="s">
        <v>180</v>
      </c>
      <c r="J19" s="200">
        <f>IRR($G$4:$G$13,0.01)</f>
        <v>0.21509065837138563</v>
      </c>
      <c r="K19" s="204">
        <v>0.05</v>
      </c>
    </row>
    <row r="20" spans="5:11" ht="15.75" thickBot="1" x14ac:dyDescent="0.3">
      <c r="H20" s="194"/>
      <c r="I20" s="195"/>
      <c r="J20" s="194"/>
      <c r="K20" s="205"/>
    </row>
    <row r="21" spans="5:11" s="146" customFormat="1" ht="23.25" thickBot="1" x14ac:dyDescent="0.25">
      <c r="H21" s="197" t="s">
        <v>177</v>
      </c>
      <c r="I21" s="198" t="s">
        <v>366</v>
      </c>
      <c r="J21" s="201">
        <f>I14</f>
        <v>-24041176.91775566</v>
      </c>
      <c r="K21" s="206" t="s">
        <v>182</v>
      </c>
    </row>
    <row r="22" spans="5:11" s="146" customFormat="1" ht="23.25" thickBot="1" x14ac:dyDescent="0.25">
      <c r="H22" s="197" t="s">
        <v>72</v>
      </c>
      <c r="I22" s="198" t="s">
        <v>365</v>
      </c>
      <c r="J22" s="201">
        <f>J14</f>
        <v>14216260.1321174</v>
      </c>
      <c r="K22" s="206">
        <v>0</v>
      </c>
    </row>
  </sheetData>
  <mergeCells count="6">
    <mergeCell ref="K3:L3"/>
    <mergeCell ref="B1:G1"/>
    <mergeCell ref="H1:L1"/>
    <mergeCell ref="B2:D2"/>
    <mergeCell ref="E2:G2"/>
    <mergeCell ref="K2:L2"/>
  </mergeCells>
  <conditionalFormatting sqref="L4:L13">
    <cfRule type="cellIs" dxfId="0" priority="1" stopIfTrue="1" operator="equal">
      <formula>"Rok návratu investície"</formula>
    </cfRule>
  </conditionalFormatting>
  <pageMargins left="0.7" right="0.7" top="0.75" bottom="0.75" header="0.3" footer="0.3"/>
  <pageSetup paperSize="9" scale="4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3"/>
  <sheetViews>
    <sheetView view="pageBreakPreview" zoomScale="60" zoomScaleNormal="80" workbookViewId="0"/>
  </sheetViews>
  <sheetFormatPr defaultColWidth="8.85546875" defaultRowHeight="15" x14ac:dyDescent="0.25"/>
  <cols>
    <col min="1" max="1" width="7.85546875" style="61" customWidth="1"/>
    <col min="2" max="2" width="12.7109375" style="61" customWidth="1"/>
    <col min="3" max="3" width="14" style="61" customWidth="1"/>
    <col min="4" max="4" width="9.42578125" style="61" customWidth="1"/>
    <col min="5" max="5" width="11.85546875" style="61" customWidth="1"/>
    <col min="6" max="6" width="11.7109375" style="61" customWidth="1"/>
    <col min="7" max="7" width="9.7109375" customWidth="1"/>
    <col min="8" max="8" width="11.42578125" customWidth="1"/>
    <col min="9" max="9" width="10.85546875" customWidth="1"/>
    <col min="10" max="10" width="9.42578125" customWidth="1"/>
    <col min="11" max="11" width="12.7109375" customWidth="1"/>
    <col min="12" max="12" width="11.42578125" customWidth="1"/>
    <col min="13" max="13" width="10.42578125" customWidth="1"/>
    <col min="14" max="14" width="13.28515625" customWidth="1"/>
    <col min="15" max="15" width="11.28515625" customWidth="1"/>
    <col min="16" max="16" width="9.7109375" customWidth="1"/>
    <col min="17" max="17" width="14.7109375" customWidth="1"/>
    <col min="18" max="18" width="15.7109375" customWidth="1"/>
  </cols>
  <sheetData>
    <row r="2" spans="1:18" x14ac:dyDescent="0.25">
      <c r="A2" s="234" t="s">
        <v>123</v>
      </c>
      <c r="B2" s="235">
        <f>'CBA - Agendové IS'!J17</f>
        <v>1.7220754400224583</v>
      </c>
    </row>
    <row r="4" spans="1:18" x14ac:dyDescent="0.25">
      <c r="A4" s="225"/>
    </row>
    <row r="5" spans="1:18" ht="30" customHeight="1" x14ac:dyDescent="0.25">
      <c r="A5" s="225"/>
      <c r="B5" s="779" t="s">
        <v>200</v>
      </c>
      <c r="C5" s="780"/>
      <c r="D5" s="243"/>
      <c r="E5" s="779" t="s">
        <v>201</v>
      </c>
      <c r="F5" s="780"/>
      <c r="H5" s="777" t="s">
        <v>196</v>
      </c>
      <c r="I5" s="778"/>
      <c r="J5" s="61"/>
      <c r="K5" s="779" t="s">
        <v>199</v>
      </c>
      <c r="L5" s="780"/>
      <c r="N5" s="777" t="s">
        <v>197</v>
      </c>
      <c r="O5" s="778"/>
      <c r="Q5" s="777" t="s">
        <v>198</v>
      </c>
      <c r="R5" s="778"/>
    </row>
    <row r="6" spans="1:18" x14ac:dyDescent="0.25">
      <c r="A6" s="225"/>
      <c r="B6" s="238" t="s">
        <v>12</v>
      </c>
      <c r="C6" s="237" t="s">
        <v>123</v>
      </c>
      <c r="D6" s="244"/>
      <c r="E6" s="238" t="s">
        <v>12</v>
      </c>
      <c r="F6" s="237" t="s">
        <v>123</v>
      </c>
      <c r="H6" s="238" t="s">
        <v>12</v>
      </c>
      <c r="I6" s="237" t="s">
        <v>123</v>
      </c>
      <c r="J6" s="61"/>
      <c r="K6" s="238" t="s">
        <v>12</v>
      </c>
      <c r="L6" s="237" t="s">
        <v>123</v>
      </c>
      <c r="N6" s="239" t="s">
        <v>12</v>
      </c>
      <c r="O6" s="240" t="s">
        <v>123</v>
      </c>
      <c r="Q6" s="239" t="s">
        <v>12</v>
      </c>
      <c r="R6" s="240" t="s">
        <v>123</v>
      </c>
    </row>
    <row r="7" spans="1:18" ht="15" customHeight="1" x14ac:dyDescent="0.25">
      <c r="A7" s="225"/>
      <c r="B7" s="230">
        <v>0</v>
      </c>
      <c r="C7" s="221">
        <f>B2</f>
        <v>1.7220754400224583</v>
      </c>
      <c r="D7" s="241"/>
      <c r="E7" s="230">
        <v>0</v>
      </c>
      <c r="F7" s="221">
        <f>B2</f>
        <v>1.7220754400224583</v>
      </c>
      <c r="H7" s="230">
        <v>0</v>
      </c>
      <c r="I7" s="221">
        <f>B2</f>
        <v>1.7220754400224583</v>
      </c>
      <c r="J7" s="61"/>
      <c r="K7" s="230">
        <v>0</v>
      </c>
      <c r="L7" s="221">
        <f>B2</f>
        <v>1.7220754400224583</v>
      </c>
      <c r="N7" s="232">
        <v>0</v>
      </c>
      <c r="O7" s="223">
        <f>B2</f>
        <v>1.7220754400224583</v>
      </c>
      <c r="Q7" s="232">
        <v>0</v>
      </c>
      <c r="R7" s="223">
        <f>B2</f>
        <v>1.7220754400224583</v>
      </c>
    </row>
    <row r="8" spans="1:18" x14ac:dyDescent="0.25">
      <c r="A8" s="225"/>
      <c r="B8" s="230">
        <v>0.1</v>
      </c>
      <c r="C8" s="226">
        <v>1.36785691114788</v>
      </c>
      <c r="D8" s="242"/>
      <c r="E8" s="230">
        <v>0.1</v>
      </c>
      <c r="F8" s="226">
        <v>1.4142386146291099</v>
      </c>
      <c r="H8" s="230">
        <v>-0.1</v>
      </c>
      <c r="I8" s="226">
        <v>1.50464260226267</v>
      </c>
      <c r="J8" s="61"/>
      <c r="K8" s="230">
        <v>-0.1</v>
      </c>
      <c r="L8" s="226">
        <v>1.9560353355573401</v>
      </c>
      <c r="N8" s="232">
        <v>-0.1</v>
      </c>
      <c r="O8" s="228">
        <v>1.50464260226267</v>
      </c>
      <c r="Q8" s="232">
        <v>-0.1</v>
      </c>
      <c r="R8" s="228">
        <v>1.50464260226267</v>
      </c>
    </row>
    <row r="9" spans="1:18" x14ac:dyDescent="0.25">
      <c r="A9" s="224"/>
      <c r="B9" s="230">
        <v>0.2</v>
      </c>
      <c r="C9" s="226">
        <v>1.25386883521889</v>
      </c>
      <c r="D9" s="242"/>
      <c r="E9" s="230">
        <v>0.2</v>
      </c>
      <c r="F9" s="226">
        <v>1.33408245427761</v>
      </c>
      <c r="H9" s="230">
        <v>-0.2</v>
      </c>
      <c r="I9" s="226">
        <v>1.50464260226267</v>
      </c>
      <c r="J9" s="61"/>
      <c r="K9" s="230">
        <v>-0.2</v>
      </c>
      <c r="L9" s="226">
        <v>2.407428068852</v>
      </c>
      <c r="N9" s="232">
        <v>-0.2</v>
      </c>
      <c r="O9" s="228">
        <v>1.50464260226267</v>
      </c>
      <c r="Q9" s="232">
        <v>-0.2</v>
      </c>
      <c r="R9" s="228">
        <v>1.50464260226267</v>
      </c>
    </row>
    <row r="10" spans="1:18" x14ac:dyDescent="0.25">
      <c r="A10" s="224"/>
      <c r="B10" s="230">
        <v>0.3</v>
      </c>
      <c r="C10" s="226">
        <v>1.1574173863559001</v>
      </c>
      <c r="D10" s="242"/>
      <c r="E10" s="230">
        <v>0.3</v>
      </c>
      <c r="F10" s="226">
        <v>1.26252510616752</v>
      </c>
      <c r="H10" s="230">
        <v>-0.3</v>
      </c>
      <c r="I10" s="226">
        <v>1.50464260226267</v>
      </c>
      <c r="J10" s="61"/>
      <c r="K10" s="230">
        <v>-0.3</v>
      </c>
      <c r="L10" s="226">
        <v>2.8588208021466701</v>
      </c>
      <c r="N10" s="232">
        <v>-0.3</v>
      </c>
      <c r="O10" s="228">
        <v>1.50464260226267</v>
      </c>
      <c r="Q10" s="232">
        <v>-0.3</v>
      </c>
      <c r="R10" s="228">
        <v>1.50464260226267</v>
      </c>
    </row>
    <row r="11" spans="1:18" x14ac:dyDescent="0.25">
      <c r="A11" s="224"/>
      <c r="B11" s="230">
        <v>0.4</v>
      </c>
      <c r="C11" s="226">
        <v>1.0747447159019099</v>
      </c>
      <c r="D11" s="242"/>
      <c r="E11" s="230">
        <v>0.4</v>
      </c>
      <c r="F11" s="226">
        <v>1.19825334297022</v>
      </c>
      <c r="H11" s="230">
        <v>-0.4</v>
      </c>
      <c r="I11" s="226">
        <v>1.50464260226267</v>
      </c>
      <c r="J11" s="61"/>
      <c r="K11" s="230">
        <v>-0.4</v>
      </c>
      <c r="L11" s="226">
        <v>3.3102135354413398</v>
      </c>
      <c r="N11" s="232">
        <v>-0.4</v>
      </c>
      <c r="O11" s="228">
        <v>1.50464260226267</v>
      </c>
      <c r="Q11" s="232">
        <v>-0.4</v>
      </c>
      <c r="R11" s="228">
        <v>1.50464260226267</v>
      </c>
    </row>
    <row r="12" spans="1:18" x14ac:dyDescent="0.25">
      <c r="A12" s="224"/>
      <c r="B12" s="230">
        <v>0.5</v>
      </c>
      <c r="C12" s="226">
        <v>1.0030950681751101</v>
      </c>
      <c r="D12" s="242"/>
      <c r="E12" s="230">
        <v>0.5</v>
      </c>
      <c r="F12" s="226">
        <v>1.14020839510519</v>
      </c>
      <c r="H12" s="230">
        <v>-0.5</v>
      </c>
      <c r="I12" s="226">
        <v>1.50464260226267</v>
      </c>
      <c r="J12" s="61"/>
      <c r="K12" s="230">
        <v>-0.5</v>
      </c>
      <c r="L12" s="226">
        <v>3.7616062687360099</v>
      </c>
      <c r="N12" s="232">
        <v>-0.5</v>
      </c>
      <c r="O12" s="228">
        <v>1.50464260226267</v>
      </c>
      <c r="Q12" s="232">
        <v>-0.5</v>
      </c>
      <c r="R12" s="228">
        <v>1.50464260226267</v>
      </c>
    </row>
    <row r="13" spans="1:18" x14ac:dyDescent="0.25">
      <c r="A13" s="224"/>
      <c r="B13" s="230">
        <v>0.6</v>
      </c>
      <c r="C13" s="226">
        <v>0.94040162641416802</v>
      </c>
      <c r="D13" s="242"/>
      <c r="E13" s="230">
        <v>0.6</v>
      </c>
      <c r="F13" s="226">
        <v>1.0875271669829001</v>
      </c>
      <c r="H13" s="230">
        <v>-0.6</v>
      </c>
      <c r="I13" s="226">
        <v>1.50464260226267</v>
      </c>
      <c r="J13" s="61"/>
      <c r="K13" s="230">
        <v>-0.6</v>
      </c>
      <c r="L13" s="226">
        <v>4.2129990020306698</v>
      </c>
      <c r="N13" s="232">
        <v>-0.6</v>
      </c>
      <c r="O13" s="228">
        <v>1.50464260226267</v>
      </c>
      <c r="Q13" s="232">
        <v>-0.6</v>
      </c>
      <c r="R13" s="228">
        <v>1.50464260226267</v>
      </c>
    </row>
    <row r="14" spans="1:18" x14ac:dyDescent="0.25">
      <c r="A14" s="220"/>
      <c r="B14" s="230">
        <v>0.7</v>
      </c>
      <c r="C14" s="226">
        <v>0.88508388368392299</v>
      </c>
      <c r="D14" s="242"/>
      <c r="E14" s="230">
        <v>0.7</v>
      </c>
      <c r="F14" s="226">
        <v>1.03949902954466</v>
      </c>
      <c r="H14" s="230">
        <v>-0.7</v>
      </c>
      <c r="I14" s="226">
        <v>1.50464260226267</v>
      </c>
      <c r="J14" s="61"/>
      <c r="K14" s="230">
        <v>-0.7</v>
      </c>
      <c r="L14" s="226">
        <v>4.6643917353253403</v>
      </c>
      <c r="N14" s="232">
        <v>-0.7</v>
      </c>
      <c r="O14" s="228">
        <v>1.50464260226267</v>
      </c>
      <c r="Q14" s="232">
        <v>-0.7</v>
      </c>
      <c r="R14" s="228">
        <v>1.50464260226267</v>
      </c>
    </row>
    <row r="15" spans="1:18" x14ac:dyDescent="0.25">
      <c r="A15" s="220"/>
      <c r="B15" s="230">
        <v>0.8</v>
      </c>
      <c r="C15" s="226">
        <v>0.83591255681259402</v>
      </c>
      <c r="D15" s="242"/>
      <c r="E15" s="230">
        <v>0.8</v>
      </c>
      <c r="F15" s="226">
        <v>0.99553357751998595</v>
      </c>
      <c r="H15" s="230">
        <v>-0.8</v>
      </c>
      <c r="I15" s="226">
        <v>1.50464260226267</v>
      </c>
      <c r="J15" s="61"/>
      <c r="K15" s="230">
        <v>-0.8</v>
      </c>
      <c r="L15" s="226">
        <v>5.11578446862001</v>
      </c>
      <c r="N15" s="232">
        <v>-0.8</v>
      </c>
      <c r="O15" s="228">
        <v>1.50464260226267</v>
      </c>
      <c r="Q15" s="232">
        <v>-0.8</v>
      </c>
      <c r="R15" s="228">
        <v>1.50464260226267</v>
      </c>
    </row>
    <row r="16" spans="1:18" x14ac:dyDescent="0.25">
      <c r="A16" s="220"/>
      <c r="B16" s="230">
        <v>0.9</v>
      </c>
      <c r="C16" s="226">
        <v>0.791917159085615</v>
      </c>
      <c r="D16" s="242"/>
      <c r="E16" s="230">
        <v>0.9</v>
      </c>
      <c r="F16" s="226">
        <v>0.95513623687250304</v>
      </c>
      <c r="H16" s="230">
        <v>-0.9</v>
      </c>
      <c r="I16" s="226">
        <v>1.50464260226267</v>
      </c>
      <c r="J16" s="61"/>
      <c r="K16" s="230">
        <v>-0.9</v>
      </c>
      <c r="L16" s="226">
        <v>5.5671772019146797</v>
      </c>
      <c r="N16" s="232">
        <v>-0.9</v>
      </c>
      <c r="O16" s="228">
        <v>1.50464260226267</v>
      </c>
      <c r="Q16" s="232">
        <v>-0.9</v>
      </c>
      <c r="R16" s="228">
        <v>1.50464260226267</v>
      </c>
    </row>
    <row r="17" spans="1:18" x14ac:dyDescent="0.25">
      <c r="A17" s="220"/>
      <c r="B17" s="231">
        <v>1</v>
      </c>
      <c r="C17" s="227">
        <v>0.752321301131335</v>
      </c>
      <c r="D17" s="242"/>
      <c r="E17" s="231">
        <v>1</v>
      </c>
      <c r="F17" s="227">
        <v>0.91788957954331696</v>
      </c>
      <c r="H17" s="231">
        <v>-1</v>
      </c>
      <c r="I17" s="227">
        <v>1.50464260226267</v>
      </c>
      <c r="J17" s="61"/>
      <c r="K17" s="231">
        <v>-1</v>
      </c>
      <c r="L17" s="227">
        <v>6.0185699352093502</v>
      </c>
      <c r="N17" s="233">
        <v>-1</v>
      </c>
      <c r="O17" s="229">
        <v>1.50464260226267</v>
      </c>
      <c r="Q17" s="233">
        <v>-1</v>
      </c>
      <c r="R17" s="229">
        <v>1.50464260226267</v>
      </c>
    </row>
    <row r="18" spans="1:18" x14ac:dyDescent="0.25">
      <c r="A18" s="224"/>
      <c r="B18" s="225"/>
      <c r="C18" s="225"/>
      <c r="D18" s="225"/>
      <c r="E18" s="225"/>
      <c r="F18" s="225"/>
      <c r="N18" s="236"/>
    </row>
    <row r="19" spans="1:18" x14ac:dyDescent="0.25">
      <c r="A19" s="224"/>
      <c r="B19" s="225"/>
      <c r="C19" s="225"/>
      <c r="D19" s="225"/>
      <c r="E19" s="225"/>
      <c r="F19" s="225"/>
    </row>
    <row r="20" spans="1:18" x14ac:dyDescent="0.25">
      <c r="A20" s="225"/>
      <c r="B20" s="225"/>
      <c r="C20" s="225"/>
      <c r="D20" s="225"/>
      <c r="E20" s="225"/>
      <c r="F20" s="225"/>
    </row>
    <row r="25" spans="1:18" ht="18.75" customHeight="1" x14ac:dyDescent="0.25">
      <c r="B25" s="225"/>
      <c r="C25" s="225"/>
      <c r="D25" s="771" t="s">
        <v>198</v>
      </c>
      <c r="E25" s="772"/>
      <c r="F25" s="772"/>
      <c r="G25" s="772"/>
      <c r="H25" s="772"/>
      <c r="I25" s="772"/>
      <c r="J25" s="772"/>
      <c r="K25" s="772"/>
      <c r="L25" s="772"/>
      <c r="M25" s="772"/>
      <c r="N25" s="773"/>
    </row>
    <row r="26" spans="1:18" x14ac:dyDescent="0.25">
      <c r="B26" s="225"/>
      <c r="C26" s="245">
        <f>B2</f>
        <v>1.7220754400224583</v>
      </c>
      <c r="D26" s="251">
        <v>0</v>
      </c>
      <c r="E26" s="248">
        <v>-0.1</v>
      </c>
      <c r="F26" s="248">
        <v>-0.2</v>
      </c>
      <c r="G26" s="248">
        <v>-0.3</v>
      </c>
      <c r="H26" s="248">
        <v>-0.4</v>
      </c>
      <c r="I26" s="248">
        <v>-0.5</v>
      </c>
      <c r="J26" s="248">
        <v>-0.6</v>
      </c>
      <c r="K26" s="248">
        <v>-0.7</v>
      </c>
      <c r="L26" s="248">
        <v>-0.8</v>
      </c>
      <c r="M26" s="248">
        <v>-0.9</v>
      </c>
      <c r="N26" s="252">
        <v>-1</v>
      </c>
    </row>
    <row r="27" spans="1:18" ht="14.25" customHeight="1" x14ac:dyDescent="0.25">
      <c r="B27" s="774" t="s">
        <v>197</v>
      </c>
      <c r="C27" s="253">
        <v>0</v>
      </c>
      <c r="D27" s="242">
        <v>1.50464260226267</v>
      </c>
      <c r="E27" s="242">
        <v>1.50464260226267</v>
      </c>
      <c r="F27" s="242">
        <v>1.50464260226267</v>
      </c>
      <c r="G27" s="247">
        <v>1.50464260226267</v>
      </c>
      <c r="H27" s="247">
        <v>1.50464260226267</v>
      </c>
      <c r="I27" s="247">
        <v>1.50464260226267</v>
      </c>
      <c r="J27" s="247">
        <v>1.50464260226267</v>
      </c>
      <c r="K27" s="247">
        <v>1.50464260226267</v>
      </c>
      <c r="L27" s="247">
        <v>1.50464260226267</v>
      </c>
      <c r="M27" s="247">
        <v>1.50464260226267</v>
      </c>
      <c r="N27" s="228">
        <v>1.50464260226267</v>
      </c>
    </row>
    <row r="28" spans="1:18" x14ac:dyDescent="0.25">
      <c r="B28" s="775"/>
      <c r="C28" s="246">
        <v>-0.1</v>
      </c>
      <c r="D28" s="242">
        <v>1.50464260226267</v>
      </c>
      <c r="E28" s="242">
        <v>1.50464260226267</v>
      </c>
      <c r="F28" s="242">
        <v>1.50464260226267</v>
      </c>
      <c r="G28" s="247">
        <v>1.50464260226267</v>
      </c>
      <c r="H28" s="247">
        <v>1.50464260226267</v>
      </c>
      <c r="I28" s="247">
        <v>1.50464260226267</v>
      </c>
      <c r="J28" s="247">
        <v>1.50464260226267</v>
      </c>
      <c r="K28" s="247">
        <v>1.50464260226267</v>
      </c>
      <c r="L28" s="247">
        <v>1.50464260226267</v>
      </c>
      <c r="M28" s="247">
        <v>1.50464260226267</v>
      </c>
      <c r="N28" s="228">
        <v>1.50464260226267</v>
      </c>
    </row>
    <row r="29" spans="1:18" x14ac:dyDescent="0.25">
      <c r="B29" s="775"/>
      <c r="C29" s="246">
        <v>-0.2</v>
      </c>
      <c r="D29" s="242">
        <v>1.50464260226267</v>
      </c>
      <c r="E29" s="242">
        <v>1.50464260226267</v>
      </c>
      <c r="F29" s="242">
        <v>1.50464260226267</v>
      </c>
      <c r="G29" s="247">
        <v>1.50464260226267</v>
      </c>
      <c r="H29" s="247">
        <v>1.50464260226267</v>
      </c>
      <c r="I29" s="247">
        <v>1.50464260226267</v>
      </c>
      <c r="J29" s="247">
        <v>1.50464260226267</v>
      </c>
      <c r="K29" s="247">
        <v>1.50464260226267</v>
      </c>
      <c r="L29" s="247">
        <v>1.50464260226267</v>
      </c>
      <c r="M29" s="247">
        <v>1.50464260226267</v>
      </c>
      <c r="N29" s="228">
        <v>1.50464260226267</v>
      </c>
    </row>
    <row r="30" spans="1:18" x14ac:dyDescent="0.25">
      <c r="B30" s="775"/>
      <c r="C30" s="246">
        <v>-0.3</v>
      </c>
      <c r="D30" s="242">
        <v>1.50464260226267</v>
      </c>
      <c r="E30" s="242">
        <v>1.50464260226267</v>
      </c>
      <c r="F30" s="242">
        <v>1.50464260226267</v>
      </c>
      <c r="G30" s="247">
        <v>1.50464260226267</v>
      </c>
      <c r="H30" s="247">
        <v>1.50464260226267</v>
      </c>
      <c r="I30" s="247">
        <v>1.50464260226267</v>
      </c>
      <c r="J30" s="247">
        <v>1.50464260226267</v>
      </c>
      <c r="K30" s="247">
        <v>1.50464260226267</v>
      </c>
      <c r="L30" s="247">
        <v>1.50464260226267</v>
      </c>
      <c r="M30" s="247">
        <v>1.50464260226267</v>
      </c>
      <c r="N30" s="228">
        <v>1.50464260226267</v>
      </c>
    </row>
    <row r="31" spans="1:18" x14ac:dyDescent="0.25">
      <c r="B31" s="775"/>
      <c r="C31" s="246">
        <v>-0.4</v>
      </c>
      <c r="D31" s="242">
        <v>1.50464260226267</v>
      </c>
      <c r="E31" s="242">
        <v>1.50464260226267</v>
      </c>
      <c r="F31" s="242">
        <v>1.50464260226267</v>
      </c>
      <c r="G31" s="247">
        <v>1.50464260226267</v>
      </c>
      <c r="H31" s="247">
        <v>1.50464260226267</v>
      </c>
      <c r="I31" s="247">
        <v>1.50464260226267</v>
      </c>
      <c r="J31" s="247">
        <v>1.50464260226267</v>
      </c>
      <c r="K31" s="247">
        <v>1.50464260226267</v>
      </c>
      <c r="L31" s="247">
        <v>1.50464260226267</v>
      </c>
      <c r="M31" s="247">
        <v>1.50464260226267</v>
      </c>
      <c r="N31" s="228">
        <v>1.50464260226267</v>
      </c>
    </row>
    <row r="32" spans="1:18" x14ac:dyDescent="0.25">
      <c r="B32" s="775"/>
      <c r="C32" s="246">
        <v>-0.5</v>
      </c>
      <c r="D32" s="242">
        <v>1.50464260226267</v>
      </c>
      <c r="E32" s="242">
        <v>1.50464260226267</v>
      </c>
      <c r="F32" s="242">
        <v>1.50464260226267</v>
      </c>
      <c r="G32" s="247">
        <v>1.50464260226267</v>
      </c>
      <c r="H32" s="247">
        <v>1.50464260226267</v>
      </c>
      <c r="I32" s="247">
        <v>1.50464260226267</v>
      </c>
      <c r="J32" s="247">
        <v>1.50464260226267</v>
      </c>
      <c r="K32" s="247">
        <v>1.50464260226267</v>
      </c>
      <c r="L32" s="247">
        <v>1.50464260226267</v>
      </c>
      <c r="M32" s="247">
        <v>1.50464260226267</v>
      </c>
      <c r="N32" s="228">
        <v>1.50464260226267</v>
      </c>
    </row>
    <row r="33" spans="2:14" x14ac:dyDescent="0.25">
      <c r="B33" s="775"/>
      <c r="C33" s="246">
        <v>-0.6</v>
      </c>
      <c r="D33" s="242">
        <v>1.50464260226267</v>
      </c>
      <c r="E33" s="242">
        <v>1.50464260226267</v>
      </c>
      <c r="F33" s="242">
        <v>1.50464260226267</v>
      </c>
      <c r="G33" s="247">
        <v>1.50464260226267</v>
      </c>
      <c r="H33" s="247">
        <v>1.50464260226267</v>
      </c>
      <c r="I33" s="247">
        <v>1.50464260226267</v>
      </c>
      <c r="J33" s="247">
        <v>1.50464260226267</v>
      </c>
      <c r="K33" s="247">
        <v>1.50464260226267</v>
      </c>
      <c r="L33" s="247">
        <v>1.50464260226267</v>
      </c>
      <c r="M33" s="247">
        <v>1.50464260226267</v>
      </c>
      <c r="N33" s="228">
        <v>1.50464260226267</v>
      </c>
    </row>
    <row r="34" spans="2:14" x14ac:dyDescent="0.25">
      <c r="B34" s="775"/>
      <c r="C34" s="246">
        <v>-0.7</v>
      </c>
      <c r="D34" s="242">
        <v>1.50464260226267</v>
      </c>
      <c r="E34" s="242">
        <v>1.50464260226267</v>
      </c>
      <c r="F34" s="242">
        <v>1.50464260226267</v>
      </c>
      <c r="G34" s="247">
        <v>1.50464260226267</v>
      </c>
      <c r="H34" s="247">
        <v>1.50464260226267</v>
      </c>
      <c r="I34" s="247">
        <v>1.50464260226267</v>
      </c>
      <c r="J34" s="247">
        <v>1.50464260226267</v>
      </c>
      <c r="K34" s="247">
        <v>1.50464260226267</v>
      </c>
      <c r="L34" s="247">
        <v>1.50464260226267</v>
      </c>
      <c r="M34" s="247">
        <v>1.50464260226267</v>
      </c>
      <c r="N34" s="228">
        <v>1.50464260226267</v>
      </c>
    </row>
    <row r="35" spans="2:14" x14ac:dyDescent="0.25">
      <c r="B35" s="775"/>
      <c r="C35" s="246">
        <v>-0.8</v>
      </c>
      <c r="D35" s="242">
        <v>1.50464260226267</v>
      </c>
      <c r="E35" s="242">
        <v>1.50464260226267</v>
      </c>
      <c r="F35" s="242">
        <v>1.50464260226267</v>
      </c>
      <c r="G35" s="247">
        <v>1.50464260226267</v>
      </c>
      <c r="H35" s="247">
        <v>1.50464260226267</v>
      </c>
      <c r="I35" s="247">
        <v>1.50464260226267</v>
      </c>
      <c r="J35" s="247">
        <v>1.50464260226267</v>
      </c>
      <c r="K35" s="247">
        <v>1.50464260226267</v>
      </c>
      <c r="L35" s="247">
        <v>1.50464260226267</v>
      </c>
      <c r="M35" s="247">
        <v>1.50464260226267</v>
      </c>
      <c r="N35" s="228">
        <v>1.50464260226267</v>
      </c>
    </row>
    <row r="36" spans="2:14" x14ac:dyDescent="0.25">
      <c r="B36" s="775"/>
      <c r="C36" s="246">
        <v>-0.9</v>
      </c>
      <c r="D36" s="242">
        <v>1.50464260226267</v>
      </c>
      <c r="E36" s="242">
        <v>1.50464260226267</v>
      </c>
      <c r="F36" s="242">
        <v>1.50464260226267</v>
      </c>
      <c r="G36" s="247">
        <v>1.50464260226267</v>
      </c>
      <c r="H36" s="247">
        <v>1.50464260226267</v>
      </c>
      <c r="I36" s="247">
        <v>1.50464260226267</v>
      </c>
      <c r="J36" s="247">
        <v>1.50464260226267</v>
      </c>
      <c r="K36" s="247">
        <v>1.50464260226267</v>
      </c>
      <c r="L36" s="247">
        <v>1.50464260226267</v>
      </c>
      <c r="M36" s="247">
        <v>1.50464260226267</v>
      </c>
      <c r="N36" s="228">
        <v>1.50464260226267</v>
      </c>
    </row>
    <row r="37" spans="2:14" x14ac:dyDescent="0.25">
      <c r="B37" s="776"/>
      <c r="C37" s="252">
        <v>-1</v>
      </c>
      <c r="D37" s="249">
        <v>1.50464260226267</v>
      </c>
      <c r="E37" s="249">
        <v>1.50464260226267</v>
      </c>
      <c r="F37" s="249">
        <v>1.50464260226267</v>
      </c>
      <c r="G37" s="250">
        <v>1.50464260226267</v>
      </c>
      <c r="H37" s="250">
        <v>1.50464260226267</v>
      </c>
      <c r="I37" s="250">
        <v>1.50464260226267</v>
      </c>
      <c r="J37" s="250">
        <v>1.50464260226267</v>
      </c>
      <c r="K37" s="250">
        <v>1.50464260226267</v>
      </c>
      <c r="L37" s="250">
        <v>1.50464260226267</v>
      </c>
      <c r="M37" s="250">
        <v>1.50464260226267</v>
      </c>
      <c r="N37" s="229">
        <v>1.50464260226267</v>
      </c>
    </row>
    <row r="41" spans="2:14" x14ac:dyDescent="0.25">
      <c r="B41" s="225"/>
      <c r="C41" s="225"/>
      <c r="D41" s="771" t="s">
        <v>199</v>
      </c>
      <c r="E41" s="772"/>
      <c r="F41" s="772"/>
      <c r="G41" s="772"/>
      <c r="H41" s="772"/>
      <c r="I41" s="772"/>
      <c r="J41" s="772"/>
      <c r="K41" s="772"/>
      <c r="L41" s="772"/>
      <c r="M41" s="772"/>
      <c r="N41" s="773"/>
    </row>
    <row r="42" spans="2:14" x14ac:dyDescent="0.25">
      <c r="B42" s="225"/>
      <c r="C42" s="245">
        <f>B2</f>
        <v>1.7220754400224583</v>
      </c>
      <c r="D42" s="251">
        <v>0</v>
      </c>
      <c r="E42" s="248">
        <v>-0.1</v>
      </c>
      <c r="F42" s="248">
        <v>-0.2</v>
      </c>
      <c r="G42" s="248">
        <v>-0.3</v>
      </c>
      <c r="H42" s="248">
        <v>-0.4</v>
      </c>
      <c r="I42" s="248">
        <v>-0.5</v>
      </c>
      <c r="J42" s="248">
        <v>-0.6</v>
      </c>
      <c r="K42" s="248">
        <v>-0.7</v>
      </c>
      <c r="L42" s="248">
        <v>-0.8</v>
      </c>
      <c r="M42" s="248">
        <v>-0.9</v>
      </c>
      <c r="N42" s="252">
        <v>-1</v>
      </c>
    </row>
    <row r="43" spans="2:14" x14ac:dyDescent="0.25">
      <c r="B43" s="774" t="s">
        <v>201</v>
      </c>
      <c r="C43" s="253">
        <v>0</v>
      </c>
      <c r="D43" s="242">
        <v>1.50464260226267</v>
      </c>
      <c r="E43" s="242">
        <v>1.9560353355573401</v>
      </c>
      <c r="F43" s="242">
        <v>2.407428068852</v>
      </c>
      <c r="G43" s="247">
        <v>2.8588208021466701</v>
      </c>
      <c r="H43" s="247">
        <v>3.3102135354413398</v>
      </c>
      <c r="I43" s="247">
        <v>3.7616062687360099</v>
      </c>
      <c r="J43" s="247">
        <v>4.2129990020306698</v>
      </c>
      <c r="K43" s="247">
        <v>4.6643917353253403</v>
      </c>
      <c r="L43" s="247">
        <v>5.11578446862001</v>
      </c>
      <c r="M43" s="247">
        <v>5.5671772019146797</v>
      </c>
      <c r="N43" s="228">
        <v>6.0185699352093502</v>
      </c>
    </row>
    <row r="44" spans="2:14" x14ac:dyDescent="0.25">
      <c r="B44" s="775"/>
      <c r="C44" s="246">
        <v>0.1</v>
      </c>
      <c r="D44" s="242">
        <v>1.4142386146291099</v>
      </c>
      <c r="E44" s="242">
        <v>1.8385101544807101</v>
      </c>
      <c r="F44" s="242">
        <v>2.2627816943323098</v>
      </c>
      <c r="G44" s="247">
        <v>2.6870532341839102</v>
      </c>
      <c r="H44" s="247">
        <v>3.1113247740354999</v>
      </c>
      <c r="I44" s="247">
        <v>3.5355963138870998</v>
      </c>
      <c r="J44" s="247">
        <v>3.9598678537387002</v>
      </c>
      <c r="K44" s="247">
        <v>4.3841393935903001</v>
      </c>
      <c r="L44" s="247">
        <v>4.8084109334419001</v>
      </c>
      <c r="M44" s="247">
        <v>5.2326824732934902</v>
      </c>
      <c r="N44" s="228">
        <v>5.6569540131450902</v>
      </c>
    </row>
    <row r="45" spans="2:14" x14ac:dyDescent="0.25">
      <c r="B45" s="775"/>
      <c r="C45" s="246">
        <v>0.2</v>
      </c>
      <c r="D45" s="242">
        <v>1.33408245427761</v>
      </c>
      <c r="E45" s="242">
        <v>1.7343071485480399</v>
      </c>
      <c r="F45" s="242">
        <v>2.1345318428184599</v>
      </c>
      <c r="G45" s="247">
        <v>2.5347565370888798</v>
      </c>
      <c r="H45" s="247">
        <v>2.93498123135931</v>
      </c>
      <c r="I45" s="247">
        <v>3.33520592562973</v>
      </c>
      <c r="J45" s="247">
        <v>3.7354306199001499</v>
      </c>
      <c r="K45" s="247">
        <v>4.1356553141705703</v>
      </c>
      <c r="L45" s="247">
        <v>4.5358800084409996</v>
      </c>
      <c r="M45" s="247">
        <v>4.93610470271142</v>
      </c>
      <c r="N45" s="228">
        <v>5.3363293969818404</v>
      </c>
    </row>
    <row r="46" spans="2:14" x14ac:dyDescent="0.25">
      <c r="B46" s="775"/>
      <c r="C46" s="246">
        <v>0.3</v>
      </c>
      <c r="D46" s="242">
        <v>1.26252510616752</v>
      </c>
      <c r="E46" s="242">
        <v>1.6412825982583901</v>
      </c>
      <c r="F46" s="242">
        <v>2.0200400903492701</v>
      </c>
      <c r="G46" s="247">
        <v>2.3987975824401402</v>
      </c>
      <c r="H46" s="247">
        <v>2.77755507453102</v>
      </c>
      <c r="I46" s="247">
        <v>3.1563125666218901</v>
      </c>
      <c r="J46" s="247">
        <v>3.5350700587127699</v>
      </c>
      <c r="K46" s="247">
        <v>3.91382755080364</v>
      </c>
      <c r="L46" s="247">
        <v>4.2925850428945198</v>
      </c>
      <c r="M46" s="247">
        <v>4.6713425349853903</v>
      </c>
      <c r="N46" s="228">
        <v>5.0501000270762697</v>
      </c>
    </row>
    <row r="47" spans="2:14" x14ac:dyDescent="0.25">
      <c r="B47" s="775"/>
      <c r="C47" s="246">
        <v>0.4</v>
      </c>
      <c r="D47" s="242">
        <v>1.19825334297022</v>
      </c>
      <c r="E47" s="242">
        <v>1.55772930812594</v>
      </c>
      <c r="F47" s="242">
        <v>1.91720527328167</v>
      </c>
      <c r="G47" s="247">
        <v>2.2766812384374</v>
      </c>
      <c r="H47" s="247">
        <v>2.6361572035931302</v>
      </c>
      <c r="I47" s="247">
        <v>2.99563316874886</v>
      </c>
      <c r="J47" s="247">
        <v>3.35510913390458</v>
      </c>
      <c r="K47" s="247">
        <v>3.7145850990603102</v>
      </c>
      <c r="L47" s="247">
        <v>4.07406106421604</v>
      </c>
      <c r="M47" s="247">
        <v>4.4335370293717702</v>
      </c>
      <c r="N47" s="228">
        <v>4.7930129945275004</v>
      </c>
    </row>
    <row r="48" spans="2:14" x14ac:dyDescent="0.25">
      <c r="B48" s="775"/>
      <c r="C48" s="246">
        <v>0.5</v>
      </c>
      <c r="D48" s="242">
        <v>1.14020839510519</v>
      </c>
      <c r="E48" s="242">
        <v>1.4822708777293601</v>
      </c>
      <c r="F48" s="242">
        <v>1.8243333603535301</v>
      </c>
      <c r="G48" s="247">
        <v>2.1663958429777002</v>
      </c>
      <c r="H48" s="247">
        <v>2.50845832560187</v>
      </c>
      <c r="I48" s="247">
        <v>2.8505208082260398</v>
      </c>
      <c r="J48" s="247">
        <v>3.1925832908502101</v>
      </c>
      <c r="K48" s="247">
        <v>3.5346457734743799</v>
      </c>
      <c r="L48" s="247">
        <v>3.8767082560985502</v>
      </c>
      <c r="M48" s="247">
        <v>4.2187707387227196</v>
      </c>
      <c r="N48" s="228">
        <v>4.5608332213468898</v>
      </c>
    </row>
    <row r="49" spans="2:14" x14ac:dyDescent="0.25">
      <c r="B49" s="775"/>
      <c r="C49" s="246">
        <v>0.6</v>
      </c>
      <c r="D49" s="242">
        <v>1.0875271669829001</v>
      </c>
      <c r="E49" s="242">
        <v>1.41378528282941</v>
      </c>
      <c r="F49" s="242">
        <v>1.7400433986759301</v>
      </c>
      <c r="G49" s="247">
        <v>2.0663015145224399</v>
      </c>
      <c r="H49" s="247">
        <v>2.39255963036896</v>
      </c>
      <c r="I49" s="247">
        <v>2.7188177462154699</v>
      </c>
      <c r="J49" s="247">
        <v>3.04507586206199</v>
      </c>
      <c r="K49" s="247">
        <v>3.3713339779084999</v>
      </c>
      <c r="L49" s="247">
        <v>3.69759209375502</v>
      </c>
      <c r="M49" s="247">
        <v>4.0238502096015303</v>
      </c>
      <c r="N49" s="228">
        <v>4.3501083254480504</v>
      </c>
    </row>
    <row r="50" spans="2:14" x14ac:dyDescent="0.25">
      <c r="B50" s="775"/>
      <c r="C50" s="246">
        <v>0.7</v>
      </c>
      <c r="D50" s="242">
        <v>1.03949902954466</v>
      </c>
      <c r="E50" s="242">
        <v>1.3513487056722</v>
      </c>
      <c r="F50" s="242">
        <v>1.66319838179974</v>
      </c>
      <c r="G50" s="247">
        <v>1.97504805792729</v>
      </c>
      <c r="H50" s="247">
        <v>2.28689773405483</v>
      </c>
      <c r="I50" s="247">
        <v>2.5987474101823702</v>
      </c>
      <c r="J50" s="247">
        <v>2.91059708630991</v>
      </c>
      <c r="K50" s="247">
        <v>3.22244676243746</v>
      </c>
      <c r="L50" s="247">
        <v>3.5342964385650002</v>
      </c>
      <c r="M50" s="247">
        <v>3.84614611469254</v>
      </c>
      <c r="N50" s="228">
        <v>4.15799579082009</v>
      </c>
    </row>
    <row r="51" spans="2:14" x14ac:dyDescent="0.25">
      <c r="B51" s="775"/>
      <c r="C51" s="246">
        <v>0.8</v>
      </c>
      <c r="D51" s="242">
        <v>0.99553357751998595</v>
      </c>
      <c r="E51" s="242">
        <v>1.2941936194246899</v>
      </c>
      <c r="F51" s="242">
        <v>1.59285366132938</v>
      </c>
      <c r="G51" s="247">
        <v>1.8915137032340801</v>
      </c>
      <c r="H51" s="247">
        <v>2.1901737451387802</v>
      </c>
      <c r="I51" s="247">
        <v>2.4888337870434798</v>
      </c>
      <c r="J51" s="247">
        <v>2.7874938289481799</v>
      </c>
      <c r="K51" s="247">
        <v>3.08615387085288</v>
      </c>
      <c r="L51" s="247">
        <v>3.38481391275758</v>
      </c>
      <c r="M51" s="247">
        <v>3.6834739546622801</v>
      </c>
      <c r="N51" s="228">
        <v>3.9821339965669802</v>
      </c>
    </row>
    <row r="52" spans="2:14" x14ac:dyDescent="0.25">
      <c r="B52" s="775"/>
      <c r="C52" s="246">
        <v>0.9</v>
      </c>
      <c r="D52" s="242">
        <v>0.95513623687250304</v>
      </c>
      <c r="E52" s="242">
        <v>1.24167707785515</v>
      </c>
      <c r="F52" s="242">
        <v>1.52821791883779</v>
      </c>
      <c r="G52" s="247">
        <v>1.81475875982044</v>
      </c>
      <c r="H52" s="247">
        <v>2.10129960080309</v>
      </c>
      <c r="I52" s="247">
        <v>2.38784044178573</v>
      </c>
      <c r="J52" s="247">
        <v>2.6743812827683802</v>
      </c>
      <c r="K52" s="247">
        <v>2.9609221237510202</v>
      </c>
      <c r="L52" s="247">
        <v>3.2474629647336699</v>
      </c>
      <c r="M52" s="247">
        <v>3.5340038057163201</v>
      </c>
      <c r="N52" s="228">
        <v>3.8205446466989601</v>
      </c>
    </row>
    <row r="53" spans="2:14" x14ac:dyDescent="0.25">
      <c r="B53" s="776"/>
      <c r="C53" s="252">
        <v>1</v>
      </c>
      <c r="D53" s="249">
        <v>0.91788957954331696</v>
      </c>
      <c r="E53" s="249">
        <v>1.19325642450018</v>
      </c>
      <c r="F53" s="249">
        <v>1.46862326945704</v>
      </c>
      <c r="G53" s="250">
        <v>1.7439901144139001</v>
      </c>
      <c r="H53" s="250">
        <v>2.0193569593707599</v>
      </c>
      <c r="I53" s="250">
        <v>2.2947238043276199</v>
      </c>
      <c r="J53" s="250">
        <v>2.5700906492844799</v>
      </c>
      <c r="K53" s="250">
        <v>2.84545749424134</v>
      </c>
      <c r="L53" s="250">
        <v>3.1208243391982</v>
      </c>
      <c r="M53" s="250">
        <v>3.39619118415506</v>
      </c>
      <c r="N53" s="229">
        <v>3.6715580291119201</v>
      </c>
    </row>
  </sheetData>
  <sheetProtection algorithmName="SHA-512" hashValue="dqd+ettbIsAQzamG7hohEAWj7LYgqtK4GHeDrc5QXa4Nl9dV9iy4G95/67sKKPulFay1zzDhIR6amoURKm9xxg==" saltValue="Jdn/cjq3bnIHWs2UgDdX4Q==" spinCount="100000" sheet="1" objects="1" scenarios="1"/>
  <mergeCells count="10">
    <mergeCell ref="D25:N25"/>
    <mergeCell ref="B27:B37"/>
    <mergeCell ref="D41:N41"/>
    <mergeCell ref="B43:B53"/>
    <mergeCell ref="Q5:R5"/>
    <mergeCell ref="N5:O5"/>
    <mergeCell ref="K5:L5"/>
    <mergeCell ref="B5:C5"/>
    <mergeCell ref="H5:I5"/>
    <mergeCell ref="E5:F5"/>
  </mergeCells>
  <conditionalFormatting sqref="D27:N37">
    <cfRule type="colorScale" priority="2">
      <colorScale>
        <cfvo type="min"/>
        <cfvo type="num" val="1"/>
        <cfvo type="max"/>
        <color rgb="FFF8696B"/>
        <color rgb="FFFFEB84"/>
        <color rgb="FF63BE7B"/>
      </colorScale>
    </cfRule>
  </conditionalFormatting>
  <conditionalFormatting sqref="D43:N53">
    <cfRule type="colorScale" priority="1">
      <colorScale>
        <cfvo type="min"/>
        <cfvo type="num" val="1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Y38"/>
  <sheetViews>
    <sheetView tabSelected="1" view="pageBreakPreview" topLeftCell="F1" zoomScale="85" zoomScaleNormal="85" zoomScaleSheetLayoutView="85" workbookViewId="0">
      <selection activeCell="N27" sqref="N27"/>
    </sheetView>
  </sheetViews>
  <sheetFormatPr defaultColWidth="8.85546875" defaultRowHeight="15" x14ac:dyDescent="0.25"/>
  <cols>
    <col min="1" max="1" width="9.42578125" customWidth="1"/>
    <col min="2" max="3" width="14.28515625" bestFit="1" customWidth="1"/>
    <col min="4" max="4" width="13.42578125" customWidth="1"/>
    <col min="5" max="6" width="14.85546875" bestFit="1" customWidth="1"/>
    <col min="7" max="7" width="14.28515625" bestFit="1" customWidth="1"/>
    <col min="8" max="8" width="15.42578125" style="544" bestFit="1" customWidth="1"/>
    <col min="9" max="9" width="15.85546875" style="544" customWidth="1"/>
    <col min="10" max="10" width="13.7109375" style="544" bestFit="1" customWidth="1"/>
    <col min="11" max="11" width="15.42578125" bestFit="1" customWidth="1"/>
    <col min="12" max="12" width="15.85546875" customWidth="1"/>
    <col min="13" max="13" width="13.7109375" bestFit="1" customWidth="1"/>
    <col min="14" max="15" width="14.7109375" bestFit="1" customWidth="1"/>
    <col min="16" max="19" width="13.85546875" customWidth="1"/>
    <col min="20" max="20" width="14.7109375" customWidth="1"/>
    <col min="21" max="21" width="14.85546875" bestFit="1" customWidth="1"/>
    <col min="22" max="22" width="14.28515625" bestFit="1" customWidth="1"/>
    <col min="23" max="24" width="15.42578125" bestFit="1" customWidth="1"/>
    <col min="25" max="25" width="15.42578125" customWidth="1"/>
  </cols>
  <sheetData>
    <row r="1" spans="1:25" ht="15.75" customHeight="1" thickBot="1" x14ac:dyDescent="0.3">
      <c r="A1" s="18"/>
      <c r="B1" s="763" t="s">
        <v>44</v>
      </c>
      <c r="C1" s="764"/>
      <c r="D1" s="765"/>
      <c r="E1" s="763" t="s">
        <v>45</v>
      </c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5"/>
      <c r="T1" s="766" t="s">
        <v>46</v>
      </c>
      <c r="U1" s="767"/>
      <c r="V1" s="767"/>
      <c r="W1" s="767"/>
      <c r="X1" s="767"/>
      <c r="Y1" s="768"/>
    </row>
    <row r="2" spans="1:25" ht="24" customHeight="1" x14ac:dyDescent="0.25">
      <c r="A2" s="8"/>
      <c r="B2" s="766" t="s">
        <v>47</v>
      </c>
      <c r="C2" s="767"/>
      <c r="D2" s="768"/>
      <c r="E2" s="781" t="s">
        <v>48</v>
      </c>
      <c r="F2" s="782"/>
      <c r="G2" s="783"/>
      <c r="H2" s="784" t="s">
        <v>441</v>
      </c>
      <c r="I2" s="782"/>
      <c r="J2" s="783"/>
      <c r="K2" s="784" t="s">
        <v>464</v>
      </c>
      <c r="L2" s="782"/>
      <c r="M2" s="783"/>
      <c r="N2" s="784" t="s">
        <v>49</v>
      </c>
      <c r="O2" s="782"/>
      <c r="P2" s="783"/>
      <c r="Q2" s="784" t="s">
        <v>443</v>
      </c>
      <c r="R2" s="782"/>
      <c r="S2" s="785"/>
      <c r="T2" s="767" t="s">
        <v>17</v>
      </c>
      <c r="U2" s="767"/>
      <c r="V2" s="768"/>
      <c r="W2" s="767" t="s">
        <v>18</v>
      </c>
      <c r="X2" s="767"/>
      <c r="Y2" s="768"/>
    </row>
    <row r="3" spans="1:25" ht="18.600000000000001" customHeight="1" thickBot="1" x14ac:dyDescent="0.3">
      <c r="A3" s="19" t="s">
        <v>23</v>
      </c>
      <c r="B3" s="23" t="s">
        <v>227</v>
      </c>
      <c r="C3" s="20" t="s">
        <v>170</v>
      </c>
      <c r="D3" s="24" t="s">
        <v>24</v>
      </c>
      <c r="E3" s="14" t="s">
        <v>227</v>
      </c>
      <c r="F3" s="15" t="s">
        <v>170</v>
      </c>
      <c r="G3" s="22" t="s">
        <v>24</v>
      </c>
      <c r="H3" s="21" t="s">
        <v>227</v>
      </c>
      <c r="I3" s="15" t="s">
        <v>170</v>
      </c>
      <c r="J3" s="22" t="s">
        <v>24</v>
      </c>
      <c r="K3" s="21" t="s">
        <v>227</v>
      </c>
      <c r="L3" s="15" t="s">
        <v>170</v>
      </c>
      <c r="M3" s="22" t="s">
        <v>24</v>
      </c>
      <c r="N3" s="21" t="s">
        <v>227</v>
      </c>
      <c r="O3" s="15" t="s">
        <v>170</v>
      </c>
      <c r="P3" s="22" t="s">
        <v>24</v>
      </c>
      <c r="Q3" s="21" t="s">
        <v>227</v>
      </c>
      <c r="R3" s="15" t="s">
        <v>170</v>
      </c>
      <c r="S3" s="16" t="s">
        <v>24</v>
      </c>
      <c r="T3" s="15" t="s">
        <v>227</v>
      </c>
      <c r="U3" s="15" t="s">
        <v>170</v>
      </c>
      <c r="V3" s="16" t="s">
        <v>24</v>
      </c>
      <c r="W3" s="15" t="s">
        <v>227</v>
      </c>
      <c r="X3" s="15" t="s">
        <v>170</v>
      </c>
      <c r="Y3" s="16" t="s">
        <v>24</v>
      </c>
    </row>
    <row r="4" spans="1:25" x14ac:dyDescent="0.25">
      <c r="A4" s="31" t="s">
        <v>25</v>
      </c>
      <c r="B4" s="27">
        <f>'Parametre - Agendové IS'!D137</f>
        <v>0</v>
      </c>
      <c r="C4" s="27">
        <f>'Parametre - Agendové IS'!E137</f>
        <v>0</v>
      </c>
      <c r="D4" s="29">
        <f t="shared" ref="D4:D13" si="0">IF(ISERR(C4-B4),"-",C4-B4)</f>
        <v>0</v>
      </c>
      <c r="E4" s="381"/>
      <c r="F4" s="381"/>
      <c r="G4" s="33">
        <f t="shared" ref="G4:G13" si="1">IF(ISERR(F4-E4),"-",F4-E4)</f>
        <v>0</v>
      </c>
      <c r="H4" s="26">
        <f>-'Parametre - Agendové IS'!D77</f>
        <v>0</v>
      </c>
      <c r="I4" s="26">
        <f>-'Parametre - Agendové IS'!E77</f>
        <v>0</v>
      </c>
      <c r="J4" s="33">
        <f t="shared" ref="J4:J13" si="2">IF(ISERR(I4-H4),"-",I4-H4)</f>
        <v>0</v>
      </c>
      <c r="K4" s="26">
        <f>-'Parametre - Agendové IS'!D87</f>
        <v>0</v>
      </c>
      <c r="L4" s="26">
        <f>-'Parametre - Agendové IS'!E87</f>
        <v>0</v>
      </c>
      <c r="M4" s="33">
        <f t="shared" ref="M4:M13" si="3">IF(ISERR(L4-K4),"-",L4-K4)</f>
        <v>0</v>
      </c>
      <c r="N4" s="27">
        <f>-'Parametre - Agendové IS'!D117</f>
        <v>0</v>
      </c>
      <c r="O4" s="27">
        <f>-'Parametre - Agendové IS'!E117</f>
        <v>0</v>
      </c>
      <c r="P4" s="29">
        <f t="shared" ref="P4:P13" si="4">IF(ISERR(O4-N4),"-",O4-N4)</f>
        <v>0</v>
      </c>
      <c r="Q4" s="26">
        <f>-'Parametre - Agendové IS'!D97</f>
        <v>0</v>
      </c>
      <c r="R4" s="26">
        <f>-'Parametre - Agendové IS'!E97</f>
        <v>0</v>
      </c>
      <c r="S4" s="33">
        <f t="shared" ref="S4:S13" si="5">IF(ISERR(R4-Q4),"-",R4-Q4)</f>
        <v>0</v>
      </c>
      <c r="T4" s="27">
        <f t="shared" ref="T4:T13" si="6">SUM(B4,E4)</f>
        <v>0</v>
      </c>
      <c r="U4" s="26">
        <f t="shared" ref="U4:U13" si="7">SUM(C4,F4)</f>
        <v>0</v>
      </c>
      <c r="V4" s="29">
        <f t="shared" ref="V4:V13" si="8">U4-T4</f>
        <v>0</v>
      </c>
      <c r="W4" s="27">
        <f>SUM(H4,K4,N4,Q4)</f>
        <v>0</v>
      </c>
      <c r="X4" s="26">
        <f>SUM(I4,L4,O4,R4)</f>
        <v>0</v>
      </c>
      <c r="Y4" s="29">
        <f t="shared" ref="Y4:Y13" si="9">X4-W4</f>
        <v>0</v>
      </c>
    </row>
    <row r="5" spans="1:25" x14ac:dyDescent="0.25">
      <c r="A5" s="32" t="s">
        <v>26</v>
      </c>
      <c r="B5" s="27">
        <f>'Parametre - Agendové IS'!D138</f>
        <v>0</v>
      </c>
      <c r="C5" s="27">
        <f>'Parametre - Agendové IS'!E138</f>
        <v>0</v>
      </c>
      <c r="D5" s="29">
        <f t="shared" si="0"/>
        <v>0</v>
      </c>
      <c r="E5" s="381"/>
      <c r="F5" s="381"/>
      <c r="G5" s="29">
        <f t="shared" si="1"/>
        <v>0</v>
      </c>
      <c r="H5" s="26">
        <f>-'Parametre - Agendové IS'!D78</f>
        <v>0</v>
      </c>
      <c r="I5" s="26">
        <f>-'Parametre - Agendové IS'!E78</f>
        <v>0</v>
      </c>
      <c r="J5" s="160">
        <f t="shared" si="2"/>
        <v>0</v>
      </c>
      <c r="K5" s="26">
        <f>-'Parametre - Agendové IS'!D88</f>
        <v>0</v>
      </c>
      <c r="L5" s="26">
        <f>-'Parametre - Agendové IS'!E88</f>
        <v>0</v>
      </c>
      <c r="M5" s="160">
        <f t="shared" si="3"/>
        <v>0</v>
      </c>
      <c r="N5" s="27">
        <f>-'Parametre - Agendové IS'!D118</f>
        <v>0</v>
      </c>
      <c r="O5" s="27">
        <f>-'Parametre - Agendové IS'!E118</f>
        <v>0</v>
      </c>
      <c r="P5" s="29">
        <f t="shared" si="4"/>
        <v>0</v>
      </c>
      <c r="Q5" s="26">
        <f>-'Parametre - Agendové IS'!D98</f>
        <v>0</v>
      </c>
      <c r="R5" s="26">
        <f>-'Parametre - Agendové IS'!E98</f>
        <v>0</v>
      </c>
      <c r="S5" s="29">
        <f t="shared" si="5"/>
        <v>0</v>
      </c>
      <c r="T5" s="27">
        <f t="shared" si="6"/>
        <v>0</v>
      </c>
      <c r="U5" s="26">
        <f t="shared" si="7"/>
        <v>0</v>
      </c>
      <c r="V5" s="29">
        <f t="shared" si="8"/>
        <v>0</v>
      </c>
      <c r="W5" s="27">
        <f t="shared" ref="W5:W13" si="10">SUM(H5,K5,N5,Q5)</f>
        <v>0</v>
      </c>
      <c r="X5" s="26">
        <f t="shared" ref="X5:X13" si="11">SUM(I5,L5,O5,R5)</f>
        <v>0</v>
      </c>
      <c r="Y5" s="29">
        <f t="shared" si="9"/>
        <v>0</v>
      </c>
    </row>
    <row r="6" spans="1:25" x14ac:dyDescent="0.25">
      <c r="A6" s="32" t="s">
        <v>27</v>
      </c>
      <c r="B6" s="27">
        <f>'Parametre - Agendové IS'!D139</f>
        <v>0</v>
      </c>
      <c r="C6" s="27">
        <f>'Parametre - Agendové IS'!E139</f>
        <v>0</v>
      </c>
      <c r="D6" s="29">
        <f t="shared" si="0"/>
        <v>0</v>
      </c>
      <c r="E6" s="381"/>
      <c r="F6" s="381"/>
      <c r="G6" s="29">
        <f t="shared" si="1"/>
        <v>0</v>
      </c>
      <c r="H6" s="26">
        <f>-'Parametre - Agendové IS'!D79</f>
        <v>-5776724</v>
      </c>
      <c r="I6" s="26">
        <f>-'Parametre - Agendové IS'!E79</f>
        <v>-4332542.9950000001</v>
      </c>
      <c r="J6" s="29">
        <f t="shared" si="2"/>
        <v>1444181.0049999999</v>
      </c>
      <c r="K6" s="26">
        <f>-'Parametre - Agendové IS'!D89</f>
        <v>-3740910.9950000001</v>
      </c>
      <c r="L6" s="26">
        <f>-'Parametre - Agendové IS'!E89</f>
        <v>-2805683.2450000001</v>
      </c>
      <c r="M6" s="29">
        <f t="shared" si="3"/>
        <v>935227.75</v>
      </c>
      <c r="N6" s="27">
        <f>-'Parametre - Agendové IS'!D119</f>
        <v>-136555.1080459776</v>
      </c>
      <c r="O6" s="27">
        <f>-'Parametre - Agendové IS'!E119</f>
        <v>-127451.43417624576</v>
      </c>
      <c r="P6" s="29">
        <f t="shared" si="4"/>
        <v>9103.673869731836</v>
      </c>
      <c r="Q6" s="26">
        <f>-'Parametre - Agendové IS'!D99</f>
        <v>-4676365.0250000004</v>
      </c>
      <c r="R6" s="26">
        <f>-'Parametre - Agendové IS'!E99</f>
        <v>-4091819.398</v>
      </c>
      <c r="S6" s="29">
        <f t="shared" si="5"/>
        <v>584545.62700000033</v>
      </c>
      <c r="T6" s="27">
        <f t="shared" si="6"/>
        <v>0</v>
      </c>
      <c r="U6" s="26">
        <f t="shared" si="7"/>
        <v>0</v>
      </c>
      <c r="V6" s="29">
        <f t="shared" si="8"/>
        <v>0</v>
      </c>
      <c r="W6" s="27">
        <f t="shared" si="10"/>
        <v>-14330555.12804598</v>
      </c>
      <c r="X6" s="26">
        <f t="shared" si="11"/>
        <v>-11357497.072176246</v>
      </c>
      <c r="Y6" s="29">
        <f t="shared" si="9"/>
        <v>2973058.0558697339</v>
      </c>
    </row>
    <row r="7" spans="1:25" x14ac:dyDescent="0.25">
      <c r="A7" s="32" t="s">
        <v>28</v>
      </c>
      <c r="B7" s="27">
        <f>'Parametre - Agendové IS'!D140</f>
        <v>0</v>
      </c>
      <c r="C7" s="27">
        <f>'Parametre - Agendové IS'!E140</f>
        <v>0</v>
      </c>
      <c r="D7" s="29">
        <f t="shared" si="0"/>
        <v>0</v>
      </c>
      <c r="E7" s="381"/>
      <c r="F7" s="381"/>
      <c r="G7" s="29">
        <f t="shared" si="1"/>
        <v>0</v>
      </c>
      <c r="H7" s="26">
        <f>-'Parametre - Agendové IS'!D80</f>
        <v>-11553448</v>
      </c>
      <c r="I7" s="26">
        <f>-'Parametre - Agendové IS'!E80</f>
        <v>-8665085.9900000002</v>
      </c>
      <c r="J7" s="29">
        <f t="shared" si="2"/>
        <v>2888362.01</v>
      </c>
      <c r="K7" s="26">
        <f>-'Parametre - Agendové IS'!D90</f>
        <v>-7481821.9900000002</v>
      </c>
      <c r="L7" s="26">
        <f>-'Parametre - Agendové IS'!E90</f>
        <v>-5611366.4900000002</v>
      </c>
      <c r="M7" s="29">
        <f t="shared" si="3"/>
        <v>1870455.5</v>
      </c>
      <c r="N7" s="27">
        <f>-'Parametre - Agendové IS'!D120</f>
        <v>-273110.2160919552</v>
      </c>
      <c r="O7" s="27">
        <f>-'Parametre - Agendové IS'!E120</f>
        <v>-254902.86835249153</v>
      </c>
      <c r="P7" s="29">
        <f t="shared" si="4"/>
        <v>18207.347739463672</v>
      </c>
      <c r="Q7" s="26">
        <f>-'Parametre - Agendové IS'!D100</f>
        <v>-9352730.0500000007</v>
      </c>
      <c r="R7" s="26">
        <f>-'Parametre - Agendové IS'!E100</f>
        <v>-8183638.7960000001</v>
      </c>
      <c r="S7" s="29">
        <f t="shared" si="5"/>
        <v>1169091.2540000007</v>
      </c>
      <c r="T7" s="27">
        <f t="shared" si="6"/>
        <v>0</v>
      </c>
      <c r="U7" s="26">
        <f t="shared" si="7"/>
        <v>0</v>
      </c>
      <c r="V7" s="29">
        <f t="shared" si="8"/>
        <v>0</v>
      </c>
      <c r="W7" s="27">
        <f t="shared" si="10"/>
        <v>-28661110.25609196</v>
      </c>
      <c r="X7" s="26">
        <f t="shared" si="11"/>
        <v>-22714994.144352492</v>
      </c>
      <c r="Y7" s="29">
        <f t="shared" si="9"/>
        <v>5946116.1117394678</v>
      </c>
    </row>
    <row r="8" spans="1:25" x14ac:dyDescent="0.25">
      <c r="A8" s="32" t="s">
        <v>29</v>
      </c>
      <c r="B8" s="27">
        <f>'Parametre - Agendové IS'!D141</f>
        <v>0</v>
      </c>
      <c r="C8" s="27">
        <f>'Parametre - Agendové IS'!E141</f>
        <v>0</v>
      </c>
      <c r="D8" s="29">
        <f t="shared" si="0"/>
        <v>0</v>
      </c>
      <c r="E8" s="381"/>
      <c r="F8" s="381"/>
      <c r="G8" s="29">
        <f t="shared" si="1"/>
        <v>0</v>
      </c>
      <c r="H8" s="26">
        <f>-'Parametre - Agendové IS'!D81</f>
        <v>-11553448</v>
      </c>
      <c r="I8" s="26">
        <f>-'Parametre - Agendové IS'!E81</f>
        <v>-8665085.9900000002</v>
      </c>
      <c r="J8" s="29">
        <f t="shared" si="2"/>
        <v>2888362.01</v>
      </c>
      <c r="K8" s="26">
        <f>-'Parametre - Agendové IS'!D91</f>
        <v>-7481821.9900000002</v>
      </c>
      <c r="L8" s="26">
        <f>-'Parametre - Agendové IS'!E91</f>
        <v>-5611366.4900000002</v>
      </c>
      <c r="M8" s="29">
        <f t="shared" si="3"/>
        <v>1870455.5</v>
      </c>
      <c r="N8" s="27">
        <f>-'Parametre - Agendové IS'!D121</f>
        <v>-273110.2160919552</v>
      </c>
      <c r="O8" s="27">
        <f>-'Parametre - Agendové IS'!E121</f>
        <v>-254902.86835249153</v>
      </c>
      <c r="P8" s="29">
        <f t="shared" si="4"/>
        <v>18207.347739463672</v>
      </c>
      <c r="Q8" s="26">
        <f>-'Parametre - Agendové IS'!D101</f>
        <v>-9352730.0500000007</v>
      </c>
      <c r="R8" s="26">
        <f>-'Parametre - Agendové IS'!E101</f>
        <v>-8183638.7960000001</v>
      </c>
      <c r="S8" s="29">
        <f t="shared" si="5"/>
        <v>1169091.2540000007</v>
      </c>
      <c r="T8" s="27">
        <f t="shared" si="6"/>
        <v>0</v>
      </c>
      <c r="U8" s="26">
        <f t="shared" si="7"/>
        <v>0</v>
      </c>
      <c r="V8" s="29">
        <f t="shared" si="8"/>
        <v>0</v>
      </c>
      <c r="W8" s="27">
        <f t="shared" si="10"/>
        <v>-28661110.25609196</v>
      </c>
      <c r="X8" s="26">
        <f t="shared" si="11"/>
        <v>-22714994.144352492</v>
      </c>
      <c r="Y8" s="29">
        <f t="shared" si="9"/>
        <v>5946116.1117394678</v>
      </c>
    </row>
    <row r="9" spans="1:25" x14ac:dyDescent="0.25">
      <c r="A9" s="32" t="s">
        <v>30</v>
      </c>
      <c r="B9" s="27">
        <f>'Parametre - Agendové IS'!D142</f>
        <v>0</v>
      </c>
      <c r="C9" s="27">
        <f>'Parametre - Agendové IS'!E142</f>
        <v>0</v>
      </c>
      <c r="D9" s="29">
        <f t="shared" si="0"/>
        <v>0</v>
      </c>
      <c r="E9" s="381"/>
      <c r="F9" s="381"/>
      <c r="G9" s="29">
        <f t="shared" si="1"/>
        <v>0</v>
      </c>
      <c r="H9" s="26">
        <f>-'Parametre - Agendové IS'!D82</f>
        <v>-11553448</v>
      </c>
      <c r="I9" s="26">
        <f>-'Parametre - Agendové IS'!E82</f>
        <v>-8665085.9900000002</v>
      </c>
      <c r="J9" s="29">
        <f t="shared" si="2"/>
        <v>2888362.01</v>
      </c>
      <c r="K9" s="26">
        <f>-'Parametre - Agendové IS'!D92</f>
        <v>-7481821.9900000002</v>
      </c>
      <c r="L9" s="26">
        <f>-'Parametre - Agendové IS'!E92</f>
        <v>-5611366.4900000002</v>
      </c>
      <c r="M9" s="29">
        <f t="shared" si="3"/>
        <v>1870455.5</v>
      </c>
      <c r="N9" s="27">
        <f>-'Parametre - Agendové IS'!D122</f>
        <v>-273110.2160919552</v>
      </c>
      <c r="O9" s="27">
        <f>-'Parametre - Agendové IS'!E122</f>
        <v>-254902.86835249153</v>
      </c>
      <c r="P9" s="29">
        <f t="shared" si="4"/>
        <v>18207.347739463672</v>
      </c>
      <c r="Q9" s="26">
        <f>-'Parametre - Agendové IS'!D102</f>
        <v>-9352730.0500000007</v>
      </c>
      <c r="R9" s="26">
        <f>-'Parametre - Agendové IS'!E102</f>
        <v>-8183638.7960000001</v>
      </c>
      <c r="S9" s="29">
        <f t="shared" si="5"/>
        <v>1169091.2540000007</v>
      </c>
      <c r="T9" s="27">
        <f t="shared" si="6"/>
        <v>0</v>
      </c>
      <c r="U9" s="26">
        <f t="shared" si="7"/>
        <v>0</v>
      </c>
      <c r="V9" s="29">
        <f t="shared" si="8"/>
        <v>0</v>
      </c>
      <c r="W9" s="27">
        <f t="shared" si="10"/>
        <v>-28661110.25609196</v>
      </c>
      <c r="X9" s="26">
        <f t="shared" si="11"/>
        <v>-22714994.144352492</v>
      </c>
      <c r="Y9" s="29">
        <f t="shared" si="9"/>
        <v>5946116.1117394678</v>
      </c>
    </row>
    <row r="10" spans="1:25" x14ac:dyDescent="0.25">
      <c r="A10" s="32" t="s">
        <v>31</v>
      </c>
      <c r="B10" s="27">
        <f>'Parametre - Agendové IS'!D143</f>
        <v>0</v>
      </c>
      <c r="C10" s="27">
        <f>'Parametre - Agendové IS'!E143</f>
        <v>0</v>
      </c>
      <c r="D10" s="29">
        <f t="shared" si="0"/>
        <v>0</v>
      </c>
      <c r="E10" s="381"/>
      <c r="F10" s="381"/>
      <c r="G10" s="29">
        <f t="shared" si="1"/>
        <v>0</v>
      </c>
      <c r="H10" s="26">
        <f>-'Parametre - Agendové IS'!D83</f>
        <v>-11553448</v>
      </c>
      <c r="I10" s="26">
        <f>-'Parametre - Agendové IS'!E83</f>
        <v>-8665085.9900000002</v>
      </c>
      <c r="J10" s="29">
        <f t="shared" si="2"/>
        <v>2888362.01</v>
      </c>
      <c r="K10" s="26">
        <f>-'Parametre - Agendové IS'!D93</f>
        <v>-7481821.9900000002</v>
      </c>
      <c r="L10" s="26">
        <f>-'Parametre - Agendové IS'!E93</f>
        <v>-5611366.4900000002</v>
      </c>
      <c r="M10" s="29">
        <f t="shared" si="3"/>
        <v>1870455.5</v>
      </c>
      <c r="N10" s="27">
        <f>-'Parametre - Agendové IS'!D123</f>
        <v>-273110.2160919552</v>
      </c>
      <c r="O10" s="27">
        <f>-'Parametre - Agendové IS'!E123</f>
        <v>-254902.86835249153</v>
      </c>
      <c r="P10" s="29">
        <f t="shared" si="4"/>
        <v>18207.347739463672</v>
      </c>
      <c r="Q10" s="26">
        <f>-'Parametre - Agendové IS'!D103</f>
        <v>-9352730.0500000007</v>
      </c>
      <c r="R10" s="26">
        <f>-'Parametre - Agendové IS'!E103</f>
        <v>-8183638.7960000001</v>
      </c>
      <c r="S10" s="29">
        <f t="shared" si="5"/>
        <v>1169091.2540000007</v>
      </c>
      <c r="T10" s="27">
        <f t="shared" si="6"/>
        <v>0</v>
      </c>
      <c r="U10" s="26">
        <f t="shared" si="7"/>
        <v>0</v>
      </c>
      <c r="V10" s="29">
        <f t="shared" si="8"/>
        <v>0</v>
      </c>
      <c r="W10" s="27">
        <f t="shared" si="10"/>
        <v>-28661110.25609196</v>
      </c>
      <c r="X10" s="26">
        <f t="shared" si="11"/>
        <v>-22714994.144352492</v>
      </c>
      <c r="Y10" s="29">
        <f t="shared" si="9"/>
        <v>5946116.1117394678</v>
      </c>
    </row>
    <row r="11" spans="1:25" x14ac:dyDescent="0.25">
      <c r="A11" s="32" t="s">
        <v>32</v>
      </c>
      <c r="B11" s="27">
        <f>'Parametre - Agendové IS'!D144</f>
        <v>0</v>
      </c>
      <c r="C11" s="27">
        <f>'Parametre - Agendové IS'!E144</f>
        <v>0</v>
      </c>
      <c r="D11" s="29">
        <f t="shared" si="0"/>
        <v>0</v>
      </c>
      <c r="E11" s="381"/>
      <c r="F11" s="381"/>
      <c r="G11" s="29">
        <f t="shared" si="1"/>
        <v>0</v>
      </c>
      <c r="H11" s="26">
        <f>-'Parametre - Agendové IS'!D84</f>
        <v>-11553448</v>
      </c>
      <c r="I11" s="26">
        <f>-'Parametre - Agendové IS'!E84</f>
        <v>-8665085.9900000002</v>
      </c>
      <c r="J11" s="29">
        <f t="shared" si="2"/>
        <v>2888362.01</v>
      </c>
      <c r="K11" s="26">
        <f>-'Parametre - Agendové IS'!D94</f>
        <v>-7481821.9900000002</v>
      </c>
      <c r="L11" s="26">
        <f>-'Parametre - Agendové IS'!E94</f>
        <v>-5611366.4900000002</v>
      </c>
      <c r="M11" s="29">
        <f t="shared" si="3"/>
        <v>1870455.5</v>
      </c>
      <c r="N11" s="27">
        <f>-'Parametre - Agendové IS'!D124</f>
        <v>-273110.2160919552</v>
      </c>
      <c r="O11" s="27">
        <f>-'Parametre - Agendové IS'!E124</f>
        <v>-254902.86835249153</v>
      </c>
      <c r="P11" s="29">
        <f t="shared" si="4"/>
        <v>18207.347739463672</v>
      </c>
      <c r="Q11" s="26">
        <f>-'Parametre - Agendové IS'!D104</f>
        <v>-9352730.0500000007</v>
      </c>
      <c r="R11" s="26">
        <f>-'Parametre - Agendové IS'!E104</f>
        <v>-8183638.7960000001</v>
      </c>
      <c r="S11" s="29">
        <f t="shared" si="5"/>
        <v>1169091.2540000007</v>
      </c>
      <c r="T11" s="27">
        <f t="shared" si="6"/>
        <v>0</v>
      </c>
      <c r="U11" s="26">
        <f t="shared" si="7"/>
        <v>0</v>
      </c>
      <c r="V11" s="29">
        <f t="shared" si="8"/>
        <v>0</v>
      </c>
      <c r="W11" s="27">
        <f t="shared" si="10"/>
        <v>-28661110.25609196</v>
      </c>
      <c r="X11" s="26">
        <f t="shared" si="11"/>
        <v>-22714994.144352492</v>
      </c>
      <c r="Y11" s="29">
        <f t="shared" si="9"/>
        <v>5946116.1117394678</v>
      </c>
    </row>
    <row r="12" spans="1:25" x14ac:dyDescent="0.25">
      <c r="A12" s="32" t="s">
        <v>33</v>
      </c>
      <c r="B12" s="27">
        <f>'Parametre - Agendové IS'!D145</f>
        <v>0</v>
      </c>
      <c r="C12" s="27">
        <f>'Parametre - Agendové IS'!E145</f>
        <v>0</v>
      </c>
      <c r="D12" s="29">
        <f t="shared" si="0"/>
        <v>0</v>
      </c>
      <c r="E12" s="381"/>
      <c r="F12" s="381"/>
      <c r="G12" s="29">
        <f t="shared" si="1"/>
        <v>0</v>
      </c>
      <c r="H12" s="26">
        <f>-'Parametre - Agendové IS'!D85</f>
        <v>-11553448</v>
      </c>
      <c r="I12" s="26">
        <f>-'Parametre - Agendové IS'!E85</f>
        <v>-8665085.9900000002</v>
      </c>
      <c r="J12" s="29">
        <f t="shared" si="2"/>
        <v>2888362.01</v>
      </c>
      <c r="K12" s="26">
        <f>-'Parametre - Agendové IS'!D95</f>
        <v>-7481821.9900000002</v>
      </c>
      <c r="L12" s="26">
        <f>-'Parametre - Agendové IS'!E95</f>
        <v>-5611366.4900000002</v>
      </c>
      <c r="M12" s="29">
        <f t="shared" si="3"/>
        <v>1870455.5</v>
      </c>
      <c r="N12" s="27">
        <f>-'Parametre - Agendové IS'!D125</f>
        <v>-273110.2160919552</v>
      </c>
      <c r="O12" s="27">
        <f>-'Parametre - Agendové IS'!E125</f>
        <v>-254902.86835249153</v>
      </c>
      <c r="P12" s="29">
        <f t="shared" si="4"/>
        <v>18207.347739463672</v>
      </c>
      <c r="Q12" s="26">
        <f>-'Parametre - Agendové IS'!D105</f>
        <v>-9352730.0500000007</v>
      </c>
      <c r="R12" s="26">
        <f>-'Parametre - Agendové IS'!E105</f>
        <v>-8183638.7960000001</v>
      </c>
      <c r="S12" s="29">
        <f t="shared" si="5"/>
        <v>1169091.2540000007</v>
      </c>
      <c r="T12" s="27">
        <f t="shared" si="6"/>
        <v>0</v>
      </c>
      <c r="U12" s="26">
        <f t="shared" si="7"/>
        <v>0</v>
      </c>
      <c r="V12" s="29">
        <f t="shared" si="8"/>
        <v>0</v>
      </c>
      <c r="W12" s="27">
        <f t="shared" si="10"/>
        <v>-28661110.25609196</v>
      </c>
      <c r="X12" s="26">
        <f t="shared" si="11"/>
        <v>-22714994.144352492</v>
      </c>
      <c r="Y12" s="29">
        <f t="shared" si="9"/>
        <v>5946116.1117394678</v>
      </c>
    </row>
    <row r="13" spans="1:25" ht="15.6" customHeight="1" thickBot="1" x14ac:dyDescent="0.3">
      <c r="A13" s="32" t="s">
        <v>34</v>
      </c>
      <c r="B13" s="47">
        <f>'Parametre - Agendové IS'!D146</f>
        <v>0</v>
      </c>
      <c r="C13" s="47">
        <f>'Parametre - Agendové IS'!E146</f>
        <v>0</v>
      </c>
      <c r="D13" s="178">
        <f t="shared" si="0"/>
        <v>0</v>
      </c>
      <c r="E13" s="382"/>
      <c r="F13" s="382"/>
      <c r="G13" s="178">
        <f t="shared" si="1"/>
        <v>0</v>
      </c>
      <c r="H13" s="26">
        <f>-'Parametre - Agendové IS'!D86</f>
        <v>-11553448</v>
      </c>
      <c r="I13" s="26">
        <f>-'Parametre - Agendové IS'!E86</f>
        <v>-8665085.9900000002</v>
      </c>
      <c r="J13" s="178">
        <f t="shared" si="2"/>
        <v>2888362.01</v>
      </c>
      <c r="K13" s="26">
        <f>-'Parametre - Agendové IS'!D96</f>
        <v>-7481821.9900000002</v>
      </c>
      <c r="L13" s="26">
        <f>-'Parametre - Agendové IS'!E96</f>
        <v>-5611366.4900000002</v>
      </c>
      <c r="M13" s="178">
        <f t="shared" si="3"/>
        <v>1870455.5</v>
      </c>
      <c r="N13" s="27">
        <f>-'Parametre - Agendové IS'!D126</f>
        <v>-273110.2160919552</v>
      </c>
      <c r="O13" s="27">
        <f>-'Parametre - Agendové IS'!E126</f>
        <v>-254902.86835249153</v>
      </c>
      <c r="P13" s="178">
        <f t="shared" si="4"/>
        <v>18207.347739463672</v>
      </c>
      <c r="Q13" s="43">
        <f>-'Parametre - Agendové IS'!D106</f>
        <v>-9352730.0500000007</v>
      </c>
      <c r="R13" s="43">
        <f>-'Parametre - Agendové IS'!E106</f>
        <v>-8183638.7960000001</v>
      </c>
      <c r="S13" s="43">
        <f t="shared" si="5"/>
        <v>1169091.2540000007</v>
      </c>
      <c r="T13" s="181">
        <f t="shared" si="6"/>
        <v>0</v>
      </c>
      <c r="U13" s="43">
        <f t="shared" si="7"/>
        <v>0</v>
      </c>
      <c r="V13" s="178">
        <f t="shared" si="8"/>
        <v>0</v>
      </c>
      <c r="W13" s="47">
        <f t="shared" si="10"/>
        <v>-28661110.25609196</v>
      </c>
      <c r="X13" s="43">
        <f t="shared" si="11"/>
        <v>-22714994.144352492</v>
      </c>
      <c r="Y13" s="178">
        <f t="shared" si="9"/>
        <v>5946116.1117394678</v>
      </c>
    </row>
    <row r="14" spans="1:25" x14ac:dyDescent="0.25">
      <c r="A14" s="182" t="s">
        <v>108</v>
      </c>
      <c r="B14" s="596">
        <f t="shared" ref="B14:Y14" si="12">SUM(B4:B13)</f>
        <v>0</v>
      </c>
      <c r="C14" s="596">
        <f t="shared" si="12"/>
        <v>0</v>
      </c>
      <c r="D14" s="597">
        <f t="shared" si="12"/>
        <v>0</v>
      </c>
      <c r="E14" s="596">
        <f t="shared" si="12"/>
        <v>0</v>
      </c>
      <c r="F14" s="598">
        <f t="shared" si="12"/>
        <v>0</v>
      </c>
      <c r="G14" s="597">
        <f t="shared" si="12"/>
        <v>0</v>
      </c>
      <c r="H14" s="596">
        <f>SUM(H4:H13)</f>
        <v>-86650860</v>
      </c>
      <c r="I14" s="598">
        <f>SUM(I4:I13)</f>
        <v>-64988144.925000012</v>
      </c>
      <c r="J14" s="597">
        <f>SUM(J4:J13)</f>
        <v>21662715.074999996</v>
      </c>
      <c r="K14" s="596">
        <f t="shared" si="12"/>
        <v>-56113664.925000012</v>
      </c>
      <c r="L14" s="598">
        <f t="shared" si="12"/>
        <v>-42085248.675000004</v>
      </c>
      <c r="M14" s="597">
        <f t="shared" si="12"/>
        <v>14028416.25</v>
      </c>
      <c r="N14" s="596">
        <f t="shared" si="12"/>
        <v>-2048326.6206896636</v>
      </c>
      <c r="O14" s="596">
        <f t="shared" si="12"/>
        <v>-1911771.512643686</v>
      </c>
      <c r="P14" s="597">
        <f t="shared" si="12"/>
        <v>136555.10804597754</v>
      </c>
      <c r="Q14" s="598">
        <f t="shared" si="12"/>
        <v>-70145475.375</v>
      </c>
      <c r="R14" s="598">
        <f t="shared" si="12"/>
        <v>-61377290.970000014</v>
      </c>
      <c r="S14" s="599">
        <f t="shared" si="12"/>
        <v>8768184.4050000049</v>
      </c>
      <c r="T14" s="600">
        <f t="shared" si="12"/>
        <v>0</v>
      </c>
      <c r="U14" s="598">
        <f t="shared" si="12"/>
        <v>0</v>
      </c>
      <c r="V14" s="601">
        <f t="shared" si="12"/>
        <v>0</v>
      </c>
      <c r="W14" s="600">
        <f t="shared" si="12"/>
        <v>-214958326.92068967</v>
      </c>
      <c r="X14" s="598">
        <f t="shared" si="12"/>
        <v>-170362456.08264369</v>
      </c>
      <c r="Y14" s="602">
        <f t="shared" si="12"/>
        <v>44595870.838046014</v>
      </c>
    </row>
    <row r="15" spans="1:25" ht="15.75" thickBot="1" x14ac:dyDescent="0.3">
      <c r="A15" s="183" t="s">
        <v>164</v>
      </c>
      <c r="B15" s="603"/>
      <c r="C15" s="603"/>
      <c r="D15" s="604">
        <f>D4+NPV(Faktory!$D$5,'Prínosy - Agendové IS'!D5:D13)</f>
        <v>0</v>
      </c>
      <c r="E15" s="605"/>
      <c r="F15" s="606"/>
      <c r="G15" s="604">
        <f>G4+NPV(Faktory!$D$3,'Prínosy - Agendové IS'!G5:G13)</f>
        <v>0</v>
      </c>
      <c r="H15" s="605"/>
      <c r="I15" s="606"/>
      <c r="J15" s="604">
        <f>J4+NPV(Faktory!$D$5,'Prínosy - Agendové IS'!J5:J13)</f>
        <v>16469226.396115886</v>
      </c>
      <c r="K15" s="605"/>
      <c r="L15" s="606"/>
      <c r="M15" s="604">
        <f>M4+NPV(Faktory!$D$5,'Prínosy - Agendové IS'!M5:M13)</f>
        <v>10665198.817429448</v>
      </c>
      <c r="N15" s="603"/>
      <c r="O15" s="603"/>
      <c r="P15" s="604">
        <f>P4+NPV(Faktory!$D$5,'Prínosy - Agendové IS'!P5:P13)</f>
        <v>103816.94917599198</v>
      </c>
      <c r="Q15" s="606"/>
      <c r="R15" s="606"/>
      <c r="S15" s="607">
        <f>S4+NPV(Faktory!$D$5,'Prínosy - Agendové IS'!S5:S13)</f>
        <v>6666071.7988895839</v>
      </c>
      <c r="T15" s="608"/>
      <c r="U15" s="606"/>
      <c r="V15" s="604">
        <f>V4+NPV(Faktory!$D$5,'Prínosy - Agendové IS'!V5:V13)</f>
        <v>0</v>
      </c>
      <c r="W15" s="608"/>
      <c r="X15" s="606"/>
      <c r="Y15" s="604">
        <f>Y4+NPV(Faktory!$D$5,'Prínosy - Agendové IS'!Y5:Y13)</f>
        <v>33904313.961610928</v>
      </c>
    </row>
    <row r="17" spans="2:2" x14ac:dyDescent="0.25">
      <c r="B17" s="107" t="s">
        <v>173</v>
      </c>
    </row>
    <row r="38" spans="18:18" x14ac:dyDescent="0.25">
      <c r="R38" s="180"/>
    </row>
  </sheetData>
  <protectedRanges>
    <protectedRange algorithmName="SHA-512" hashValue="f4ycvS5NMakRYlpexdvZE7kc5B00PVZgCpNS64jzUJaJceYSE+aleudxwPGxr22CZo/5IZ2uTHVQQMolnN60/A==" saltValue="c0KVc6r/LTYq/uhy9236YA==" spinCount="100000" sqref="E2:G15" name="Rozsah1"/>
  </protectedRanges>
  <mergeCells count="11">
    <mergeCell ref="B1:D1"/>
    <mergeCell ref="T1:Y1"/>
    <mergeCell ref="B2:D2"/>
    <mergeCell ref="E2:G2"/>
    <mergeCell ref="K2:M2"/>
    <mergeCell ref="N2:P2"/>
    <mergeCell ref="T2:V2"/>
    <mergeCell ref="W2:Y2"/>
    <mergeCell ref="Q2:S2"/>
    <mergeCell ref="E1:S1"/>
    <mergeCell ref="H2:J2"/>
  </mergeCells>
  <pageMargins left="0.7" right="0.7" top="0.75" bottom="0.75" header="0.3" footer="0.3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view="pageBreakPreview" zoomScaleNormal="80" zoomScaleSheetLayoutView="100" workbookViewId="0">
      <selection activeCell="Q7" sqref="Q7"/>
    </sheetView>
  </sheetViews>
  <sheetFormatPr defaultColWidth="8.85546875" defaultRowHeight="15" x14ac:dyDescent="0.25"/>
  <cols>
    <col min="2" max="2" width="14.28515625" customWidth="1"/>
    <col min="3" max="3" width="15.85546875" bestFit="1" customWidth="1"/>
    <col min="4" max="4" width="16.7109375" bestFit="1" customWidth="1"/>
    <col min="5" max="6" width="13.42578125" bestFit="1" customWidth="1"/>
    <col min="7" max="7" width="16.7109375" bestFit="1" customWidth="1"/>
    <col min="8" max="8" width="14.42578125" bestFit="1" customWidth="1"/>
    <col min="9" max="9" width="13.42578125" bestFit="1" customWidth="1"/>
    <col min="10" max="10" width="16.7109375" bestFit="1" customWidth="1"/>
    <col min="11" max="16" width="16.7109375" customWidth="1"/>
    <col min="17" max="17" width="24.28515625" bestFit="1" customWidth="1"/>
    <col min="18" max="18" width="22.5703125" bestFit="1" customWidth="1"/>
    <col min="19" max="19" width="23.140625" bestFit="1" customWidth="1"/>
    <col min="20" max="20" width="22.7109375" bestFit="1" customWidth="1"/>
    <col min="21" max="21" width="22.5703125" bestFit="1" customWidth="1"/>
    <col min="22" max="22" width="22" bestFit="1" customWidth="1"/>
  </cols>
  <sheetData>
    <row r="1" spans="1:23" ht="15.75" customHeight="1" thickBot="1" x14ac:dyDescent="0.3">
      <c r="A1" s="37"/>
      <c r="B1" s="787" t="s">
        <v>186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9"/>
      <c r="N1" s="787" t="s">
        <v>320</v>
      </c>
      <c r="O1" s="788"/>
      <c r="P1" s="789"/>
      <c r="Q1" s="786" t="s">
        <v>70</v>
      </c>
      <c r="R1" s="786"/>
      <c r="S1" s="786"/>
      <c r="T1" s="763" t="s">
        <v>71</v>
      </c>
      <c r="U1" s="764"/>
      <c r="V1" s="765"/>
    </row>
    <row r="2" spans="1:23" ht="15.75" customHeight="1" thickBot="1" x14ac:dyDescent="0.3">
      <c r="A2" s="8"/>
      <c r="B2" s="764" t="s">
        <v>67</v>
      </c>
      <c r="C2" s="764"/>
      <c r="D2" s="765"/>
      <c r="E2" s="764" t="s">
        <v>68</v>
      </c>
      <c r="F2" s="764"/>
      <c r="G2" s="765"/>
      <c r="H2" s="764" t="s">
        <v>110</v>
      </c>
      <c r="I2" s="764"/>
      <c r="J2" s="765"/>
      <c r="K2" s="764" t="s">
        <v>354</v>
      </c>
      <c r="L2" s="764"/>
      <c r="M2" s="765"/>
      <c r="N2" s="764"/>
      <c r="O2" s="764"/>
      <c r="P2" s="765"/>
      <c r="Q2" s="764" t="s">
        <v>69</v>
      </c>
      <c r="R2" s="764"/>
      <c r="S2" s="765"/>
      <c r="T2" s="8"/>
      <c r="U2" s="8"/>
      <c r="V2" s="38"/>
    </row>
    <row r="3" spans="1:23" ht="19.350000000000001" customHeight="1" thickBot="1" x14ac:dyDescent="0.3">
      <c r="A3" s="40" t="s">
        <v>23</v>
      </c>
      <c r="B3" s="41" t="s">
        <v>227</v>
      </c>
      <c r="C3" s="41" t="s">
        <v>170</v>
      </c>
      <c r="D3" s="42" t="s">
        <v>24</v>
      </c>
      <c r="E3" s="41" t="s">
        <v>227</v>
      </c>
      <c r="F3" s="41" t="s">
        <v>170</v>
      </c>
      <c r="G3" s="42" t="s">
        <v>24</v>
      </c>
      <c r="H3" s="41" t="s">
        <v>227</v>
      </c>
      <c r="I3" s="41" t="s">
        <v>170</v>
      </c>
      <c r="J3" s="42" t="s">
        <v>24</v>
      </c>
      <c r="K3" s="41" t="s">
        <v>227</v>
      </c>
      <c r="L3" s="41" t="s">
        <v>170</v>
      </c>
      <c r="M3" s="42" t="s">
        <v>24</v>
      </c>
      <c r="N3" s="41" t="s">
        <v>227</v>
      </c>
      <c r="O3" s="41" t="s">
        <v>170</v>
      </c>
      <c r="P3" s="42" t="s">
        <v>24</v>
      </c>
      <c r="Q3" s="41" t="s">
        <v>227</v>
      </c>
      <c r="R3" s="41" t="s">
        <v>170</v>
      </c>
      <c r="S3" s="42" t="s">
        <v>24</v>
      </c>
      <c r="T3" s="41" t="s">
        <v>227</v>
      </c>
      <c r="U3" s="41" t="s">
        <v>170</v>
      </c>
      <c r="V3" s="42" t="s">
        <v>24</v>
      </c>
    </row>
    <row r="4" spans="1:23" x14ac:dyDescent="0.25">
      <c r="A4" s="25" t="s">
        <v>25</v>
      </c>
      <c r="B4" s="26">
        <f>TCO!D26+TCO!D27</f>
        <v>0</v>
      </c>
      <c r="C4" s="26">
        <f>(TCO!D$12*(1+$W$5))+TCO!D$13</f>
        <v>0</v>
      </c>
      <c r="D4" s="33">
        <f t="shared" ref="D4:D13" si="0">C4-B4</f>
        <v>0</v>
      </c>
      <c r="E4" s="27">
        <f>TCO!D22+TCO!D23</f>
        <v>0</v>
      </c>
      <c r="F4" s="26">
        <f>(TCO!D$7*(1+$W$5))+TCO!D$8</f>
        <v>3757056</v>
      </c>
      <c r="G4" s="33">
        <f t="shared" ref="G4:G13" si="1">F4-E4</f>
        <v>3757056</v>
      </c>
      <c r="H4" s="26">
        <f>TCO!D24+TCO!D25</f>
        <v>0</v>
      </c>
      <c r="I4" s="26">
        <f>(TCO!D$9*(1+$W$5))+TCO!D$10</f>
        <v>4390495.2</v>
      </c>
      <c r="J4" s="33">
        <f t="shared" ref="J4:J13" si="2">I4-H4</f>
        <v>4390495.2</v>
      </c>
      <c r="K4" s="27">
        <v>0</v>
      </c>
      <c r="L4" s="27">
        <f>TCO!D11</f>
        <v>0</v>
      </c>
      <c r="M4" s="33">
        <f t="shared" ref="M4:M13" si="3">L4-K4</f>
        <v>0</v>
      </c>
      <c r="N4" s="27">
        <v>0</v>
      </c>
      <c r="O4" s="27">
        <f>TCO!D14</f>
        <v>420000</v>
      </c>
      <c r="P4" s="33">
        <f t="shared" ref="P4:P13" si="4">O4-N4</f>
        <v>420000</v>
      </c>
      <c r="Q4" s="27">
        <f>'Parametre - Agendové IS'!D127</f>
        <v>0</v>
      </c>
      <c r="R4" s="27">
        <f>'Parametre - Agendové IS'!E127</f>
        <v>0</v>
      </c>
      <c r="S4" s="33">
        <f t="shared" ref="S4:S13" si="5">IF(ISERR(R4-Q4),"-",R4-Q4)</f>
        <v>0</v>
      </c>
      <c r="T4" s="26">
        <f t="shared" ref="T4:T13" si="6">SUM(B4,E4,H4,K4,N4,Q4)</f>
        <v>0</v>
      </c>
      <c r="U4" s="26">
        <f t="shared" ref="U4:U13" si="7">((C4+F4+L4+O4+I4)*(1+$W$4))+R4</f>
        <v>8567551.1999999993</v>
      </c>
      <c r="V4" s="33">
        <f t="shared" ref="V4:V13" si="8">U4-T4</f>
        <v>8567551.1999999993</v>
      </c>
      <c r="W4" s="222">
        <f>'Analyza citlivosti - AgendovéIS'!B7</f>
        <v>0</v>
      </c>
    </row>
    <row r="5" spans="1:23" x14ac:dyDescent="0.25">
      <c r="A5" s="25" t="s">
        <v>26</v>
      </c>
      <c r="B5" s="26">
        <f>TCO!E26+TCO!E27</f>
        <v>0</v>
      </c>
      <c r="C5" s="26">
        <f>(TCO!E$12*(1+$W$5))+TCO!E$13</f>
        <v>0</v>
      </c>
      <c r="D5" s="29">
        <f t="shared" si="0"/>
        <v>0</v>
      </c>
      <c r="E5" s="27">
        <f>TCO!E22+TCO!E23</f>
        <v>0</v>
      </c>
      <c r="F5" s="26">
        <f>(TCO!E$7*(1+$W$5))+TCO!E$8</f>
        <v>0</v>
      </c>
      <c r="G5" s="29">
        <f t="shared" si="1"/>
        <v>0</v>
      </c>
      <c r="H5" s="26">
        <f>TCO!E24+TCO!E25</f>
        <v>0</v>
      </c>
      <c r="I5" s="26">
        <f>(TCO!E$9*(1+$W$5))+TCO!E$10</f>
        <v>7589868.3000000007</v>
      </c>
      <c r="J5" s="29">
        <f t="shared" si="2"/>
        <v>7589868.3000000007</v>
      </c>
      <c r="K5" s="27">
        <v>0</v>
      </c>
      <c r="L5" s="27">
        <f>TCO!E11</f>
        <v>0</v>
      </c>
      <c r="M5" s="29">
        <f t="shared" si="3"/>
        <v>0</v>
      </c>
      <c r="N5" s="27">
        <v>0</v>
      </c>
      <c r="O5" s="27">
        <f>TCO!E14</f>
        <v>449900</v>
      </c>
      <c r="P5" s="29">
        <f t="shared" si="4"/>
        <v>449900</v>
      </c>
      <c r="Q5" s="27">
        <f>'Parametre - Agendové IS'!D128</f>
        <v>0</v>
      </c>
      <c r="R5" s="27">
        <f>'Parametre - Agendové IS'!E128</f>
        <v>0</v>
      </c>
      <c r="S5" s="29">
        <f t="shared" si="5"/>
        <v>0</v>
      </c>
      <c r="T5" s="26">
        <f t="shared" si="6"/>
        <v>0</v>
      </c>
      <c r="U5" s="26">
        <f t="shared" si="7"/>
        <v>8039768.3000000007</v>
      </c>
      <c r="V5" s="29">
        <f t="shared" si="8"/>
        <v>8039768.3000000007</v>
      </c>
      <c r="W5" s="222">
        <f>'Analyza citlivosti - AgendovéIS'!E7</f>
        <v>0</v>
      </c>
    </row>
    <row r="6" spans="1:23" x14ac:dyDescent="0.25">
      <c r="A6" s="25" t="s">
        <v>27</v>
      </c>
      <c r="B6" s="26">
        <f>TCO!F26+TCO!F27</f>
        <v>0</v>
      </c>
      <c r="C6" s="26">
        <f>(TCO!F$12*(1+$W$5))+TCO!F$13</f>
        <v>0</v>
      </c>
      <c r="D6" s="29">
        <f t="shared" si="0"/>
        <v>0</v>
      </c>
      <c r="E6" s="27">
        <f>TCO!F22+TCO!F23</f>
        <v>0</v>
      </c>
      <c r="F6" s="26">
        <f>(TCO!F$7*(1+$W$5))+TCO!F$8</f>
        <v>0</v>
      </c>
      <c r="G6" s="29">
        <f t="shared" si="1"/>
        <v>0</v>
      </c>
      <c r="H6" s="26">
        <f>TCO!F24+TCO!F25</f>
        <v>0</v>
      </c>
      <c r="I6" s="26">
        <f>(TCO!F$9*(1+$W$5))+TCO!F$10</f>
        <v>2071001.2</v>
      </c>
      <c r="J6" s="29">
        <f t="shared" si="2"/>
        <v>2071001.2</v>
      </c>
      <c r="K6" s="27">
        <v>0</v>
      </c>
      <c r="L6" s="27">
        <f>TCO!F11</f>
        <v>0</v>
      </c>
      <c r="M6" s="29">
        <f t="shared" si="3"/>
        <v>0</v>
      </c>
      <c r="N6" s="27">
        <v>0</v>
      </c>
      <c r="O6" s="27">
        <f>TCO!F14</f>
        <v>318000</v>
      </c>
      <c r="P6" s="29">
        <f t="shared" si="4"/>
        <v>318000</v>
      </c>
      <c r="Q6" s="27">
        <f>'Parametre - Agendové IS'!D129</f>
        <v>0</v>
      </c>
      <c r="R6" s="27">
        <f>'Parametre - Agendové IS'!E129</f>
        <v>0</v>
      </c>
      <c r="S6" s="29">
        <f t="shared" si="5"/>
        <v>0</v>
      </c>
      <c r="T6" s="26">
        <f t="shared" si="6"/>
        <v>0</v>
      </c>
      <c r="U6" s="26">
        <f t="shared" si="7"/>
        <v>2389001.2000000002</v>
      </c>
      <c r="V6" s="29">
        <f t="shared" si="8"/>
        <v>2389001.2000000002</v>
      </c>
    </row>
    <row r="7" spans="1:23" x14ac:dyDescent="0.25">
      <c r="A7" s="25" t="s">
        <v>28</v>
      </c>
      <c r="B7" s="26">
        <f>TCO!G26+TCO!G27</f>
        <v>0</v>
      </c>
      <c r="C7" s="26">
        <f>(TCO!G$12*(1+$W$5))+TCO!G$13</f>
        <v>0</v>
      </c>
      <c r="D7" s="29">
        <f t="shared" si="0"/>
        <v>0</v>
      </c>
      <c r="E7" s="27">
        <f>TCO!G22+TCO!G23</f>
        <v>0</v>
      </c>
      <c r="F7" s="26">
        <f>(TCO!G$7*(1+$W$5))+TCO!G$8</f>
        <v>0</v>
      </c>
      <c r="G7" s="29">
        <f t="shared" si="1"/>
        <v>0</v>
      </c>
      <c r="H7" s="26">
        <f>TCO!G24+TCO!G25</f>
        <v>0</v>
      </c>
      <c r="I7" s="26">
        <f>(TCO!G$9*(1+$W$5))+TCO!G$10</f>
        <v>997310.7</v>
      </c>
      <c r="J7" s="29">
        <f t="shared" si="2"/>
        <v>997310.7</v>
      </c>
      <c r="K7" s="27">
        <v>0</v>
      </c>
      <c r="L7" s="27">
        <f>TCO!G11</f>
        <v>0</v>
      </c>
      <c r="M7" s="29">
        <f t="shared" si="3"/>
        <v>0</v>
      </c>
      <c r="N7" s="27">
        <v>0</v>
      </c>
      <c r="O7" s="27">
        <f>TCO!G14</f>
        <v>0</v>
      </c>
      <c r="P7" s="29">
        <f t="shared" si="4"/>
        <v>0</v>
      </c>
      <c r="Q7" s="27">
        <f>'Parametre - Agendové IS'!D130</f>
        <v>0</v>
      </c>
      <c r="R7" s="27">
        <f>'Parametre - Agendové IS'!E130</f>
        <v>0</v>
      </c>
      <c r="S7" s="29">
        <f t="shared" si="5"/>
        <v>0</v>
      </c>
      <c r="T7" s="26">
        <f t="shared" si="6"/>
        <v>0</v>
      </c>
      <c r="U7" s="26">
        <f t="shared" si="7"/>
        <v>997310.7</v>
      </c>
      <c r="V7" s="29">
        <f t="shared" si="8"/>
        <v>997310.7</v>
      </c>
    </row>
    <row r="8" spans="1:23" x14ac:dyDescent="0.25">
      <c r="A8" s="25" t="s">
        <v>29</v>
      </c>
      <c r="B8" s="26">
        <f>TCO!H26+TCO!H27</f>
        <v>0</v>
      </c>
      <c r="C8" s="26">
        <f>(TCO!H$12*(1+$W$5))+TCO!H$13</f>
        <v>0</v>
      </c>
      <c r="D8" s="29">
        <f t="shared" si="0"/>
        <v>0</v>
      </c>
      <c r="E8" s="27">
        <f>TCO!H22+TCO!H23</f>
        <v>0</v>
      </c>
      <c r="F8" s="26">
        <f>(TCO!H$7*(1+$W$5))+TCO!H$8</f>
        <v>0</v>
      </c>
      <c r="G8" s="29">
        <f t="shared" si="1"/>
        <v>0</v>
      </c>
      <c r="H8" s="26">
        <f>TCO!H24+TCO!H25</f>
        <v>0</v>
      </c>
      <c r="I8" s="26">
        <f>(TCO!H$9*(1+$W$5))+TCO!H$10</f>
        <v>997310.7</v>
      </c>
      <c r="J8" s="29">
        <f t="shared" si="2"/>
        <v>997310.7</v>
      </c>
      <c r="K8" s="27">
        <v>0</v>
      </c>
      <c r="L8" s="27">
        <f>TCO!H11</f>
        <v>0</v>
      </c>
      <c r="M8" s="29">
        <f t="shared" si="3"/>
        <v>0</v>
      </c>
      <c r="N8" s="27">
        <v>0</v>
      </c>
      <c r="O8" s="27">
        <f>TCO!H14</f>
        <v>0</v>
      </c>
      <c r="P8" s="29">
        <f t="shared" si="4"/>
        <v>0</v>
      </c>
      <c r="Q8" s="27">
        <f>'Parametre - Agendové IS'!D131</f>
        <v>0</v>
      </c>
      <c r="R8" s="27">
        <f>'Parametre - Agendové IS'!E131</f>
        <v>0</v>
      </c>
      <c r="S8" s="29">
        <f t="shared" si="5"/>
        <v>0</v>
      </c>
      <c r="T8" s="26">
        <f t="shared" si="6"/>
        <v>0</v>
      </c>
      <c r="U8" s="26">
        <f t="shared" si="7"/>
        <v>997310.7</v>
      </c>
      <c r="V8" s="29">
        <f t="shared" si="8"/>
        <v>997310.7</v>
      </c>
    </row>
    <row r="9" spans="1:23" x14ac:dyDescent="0.25">
      <c r="A9" s="25" t="s">
        <v>30</v>
      </c>
      <c r="B9" s="26">
        <f>TCO!I26+TCO!I27</f>
        <v>0</v>
      </c>
      <c r="C9" s="26">
        <f>(TCO!I$12*(1+$W$5))+TCO!I$13</f>
        <v>0</v>
      </c>
      <c r="D9" s="29">
        <f t="shared" si="0"/>
        <v>0</v>
      </c>
      <c r="E9" s="27">
        <f>TCO!I22+TCO!I23</f>
        <v>0</v>
      </c>
      <c r="F9" s="26">
        <f>(TCO!I$7*(1+$W$5))+TCO!I$8</f>
        <v>0</v>
      </c>
      <c r="G9" s="29">
        <f t="shared" si="1"/>
        <v>0</v>
      </c>
      <c r="H9" s="26">
        <f>TCO!I24+TCO!I25</f>
        <v>0</v>
      </c>
      <c r="I9" s="26">
        <f>(TCO!I$9*(1+$W$5))+TCO!I$10</f>
        <v>997310.7</v>
      </c>
      <c r="J9" s="29">
        <f t="shared" si="2"/>
        <v>997310.7</v>
      </c>
      <c r="K9" s="27">
        <v>0</v>
      </c>
      <c r="L9" s="27">
        <f>TCO!I11</f>
        <v>0</v>
      </c>
      <c r="M9" s="29">
        <f t="shared" si="3"/>
        <v>0</v>
      </c>
      <c r="N9" s="27">
        <v>0</v>
      </c>
      <c r="O9" s="27">
        <f>TCO!I14</f>
        <v>0</v>
      </c>
      <c r="P9" s="29">
        <f t="shared" si="4"/>
        <v>0</v>
      </c>
      <c r="Q9" s="27">
        <f>'Parametre - Agendové IS'!D132</f>
        <v>0</v>
      </c>
      <c r="R9" s="27">
        <f>'Parametre - Agendové IS'!E132</f>
        <v>0</v>
      </c>
      <c r="S9" s="29">
        <f t="shared" si="5"/>
        <v>0</v>
      </c>
      <c r="T9" s="26">
        <f t="shared" si="6"/>
        <v>0</v>
      </c>
      <c r="U9" s="26">
        <f t="shared" si="7"/>
        <v>997310.7</v>
      </c>
      <c r="V9" s="29">
        <f t="shared" si="8"/>
        <v>997310.7</v>
      </c>
    </row>
    <row r="10" spans="1:23" x14ac:dyDescent="0.25">
      <c r="A10" s="25" t="s">
        <v>31</v>
      </c>
      <c r="B10" s="26">
        <f>TCO!J26+TCO!J27</f>
        <v>0</v>
      </c>
      <c r="C10" s="26">
        <f>(TCO!J$12*(1+$W$5))+TCO!J$13</f>
        <v>0</v>
      </c>
      <c r="D10" s="29">
        <f t="shared" si="0"/>
        <v>0</v>
      </c>
      <c r="E10" s="27">
        <f>TCO!J22+TCO!J23</f>
        <v>0</v>
      </c>
      <c r="F10" s="26">
        <f>(TCO!J$7*(1+$W$5))+TCO!J$8</f>
        <v>0</v>
      </c>
      <c r="G10" s="29">
        <f t="shared" si="1"/>
        <v>0</v>
      </c>
      <c r="H10" s="26">
        <f>TCO!J24+TCO!J25</f>
        <v>0</v>
      </c>
      <c r="I10" s="26">
        <f>(TCO!J$9*(1+$W$5))+TCO!J$10</f>
        <v>997310.7</v>
      </c>
      <c r="J10" s="29">
        <f t="shared" si="2"/>
        <v>997310.7</v>
      </c>
      <c r="K10" s="27">
        <v>0</v>
      </c>
      <c r="L10" s="27">
        <f>TCO!J11</f>
        <v>0</v>
      </c>
      <c r="M10" s="29">
        <f t="shared" si="3"/>
        <v>0</v>
      </c>
      <c r="N10" s="27">
        <v>0</v>
      </c>
      <c r="O10" s="27">
        <f>TCO!J14</f>
        <v>0</v>
      </c>
      <c r="P10" s="29">
        <f t="shared" si="4"/>
        <v>0</v>
      </c>
      <c r="Q10" s="27">
        <f>'Parametre - Agendové IS'!D133</f>
        <v>0</v>
      </c>
      <c r="R10" s="27">
        <f>'Parametre - Agendové IS'!E133</f>
        <v>0</v>
      </c>
      <c r="S10" s="29">
        <f t="shared" si="5"/>
        <v>0</v>
      </c>
      <c r="T10" s="26">
        <f t="shared" si="6"/>
        <v>0</v>
      </c>
      <c r="U10" s="26">
        <f t="shared" si="7"/>
        <v>997310.7</v>
      </c>
      <c r="V10" s="29">
        <f t="shared" si="8"/>
        <v>997310.7</v>
      </c>
    </row>
    <row r="11" spans="1:23" x14ac:dyDescent="0.25">
      <c r="A11" s="25" t="s">
        <v>32</v>
      </c>
      <c r="B11" s="26">
        <f>TCO!K26+TCO!K27</f>
        <v>0</v>
      </c>
      <c r="C11" s="26">
        <f>(TCO!K$12*(1+$W$5))+TCO!K$13</f>
        <v>0</v>
      </c>
      <c r="D11" s="29">
        <f t="shared" si="0"/>
        <v>0</v>
      </c>
      <c r="E11" s="27">
        <f>TCO!K22+TCO!K23</f>
        <v>0</v>
      </c>
      <c r="F11" s="26">
        <f>(TCO!K$7*(1+$W$5))+TCO!K$8</f>
        <v>0</v>
      </c>
      <c r="G11" s="29">
        <f t="shared" si="1"/>
        <v>0</v>
      </c>
      <c r="H11" s="26">
        <f>TCO!K24+TCO!K25</f>
        <v>0</v>
      </c>
      <c r="I11" s="26">
        <f>(TCO!K$9*(1+$W$5))+TCO!K$10</f>
        <v>997310.7</v>
      </c>
      <c r="J11" s="29">
        <f t="shared" si="2"/>
        <v>997310.7</v>
      </c>
      <c r="K11" s="27">
        <v>0</v>
      </c>
      <c r="L11" s="27">
        <f>TCO!K11</f>
        <v>0</v>
      </c>
      <c r="M11" s="29">
        <f t="shared" si="3"/>
        <v>0</v>
      </c>
      <c r="N11" s="27">
        <v>0</v>
      </c>
      <c r="O11" s="27">
        <f>TCO!K14</f>
        <v>0</v>
      </c>
      <c r="P11" s="29">
        <f t="shared" si="4"/>
        <v>0</v>
      </c>
      <c r="Q11" s="27">
        <f>'Parametre - Agendové IS'!D134</f>
        <v>0</v>
      </c>
      <c r="R11" s="27">
        <f>'Parametre - Agendové IS'!E134</f>
        <v>0</v>
      </c>
      <c r="S11" s="29">
        <f t="shared" si="5"/>
        <v>0</v>
      </c>
      <c r="T11" s="26">
        <f t="shared" si="6"/>
        <v>0</v>
      </c>
      <c r="U11" s="26">
        <f t="shared" si="7"/>
        <v>997310.7</v>
      </c>
      <c r="V11" s="29">
        <f t="shared" si="8"/>
        <v>997310.7</v>
      </c>
    </row>
    <row r="12" spans="1:23" x14ac:dyDescent="0.25">
      <c r="A12" s="25" t="s">
        <v>33</v>
      </c>
      <c r="B12" s="26">
        <f>TCO!L26+TCO!L27</f>
        <v>0</v>
      </c>
      <c r="C12" s="26">
        <f>(TCO!L$12*(1+$W$5))+TCO!L$13</f>
        <v>0</v>
      </c>
      <c r="D12" s="29">
        <f t="shared" si="0"/>
        <v>0</v>
      </c>
      <c r="E12" s="27">
        <f>TCO!L22+TCO!L23</f>
        <v>0</v>
      </c>
      <c r="F12" s="26">
        <f>(TCO!L$7*(1+$W$5))+TCO!L$8</f>
        <v>0</v>
      </c>
      <c r="G12" s="29">
        <f t="shared" si="1"/>
        <v>0</v>
      </c>
      <c r="H12" s="26">
        <f>TCO!L24+TCO!L25</f>
        <v>0</v>
      </c>
      <c r="I12" s="26">
        <f>(TCO!L$9*(1+$W$5))+TCO!L$10</f>
        <v>997310.7</v>
      </c>
      <c r="J12" s="29">
        <f t="shared" si="2"/>
        <v>997310.7</v>
      </c>
      <c r="K12" s="27">
        <v>0</v>
      </c>
      <c r="L12" s="27">
        <f>TCO!L11</f>
        <v>0</v>
      </c>
      <c r="M12" s="29">
        <f t="shared" si="3"/>
        <v>0</v>
      </c>
      <c r="N12" s="27">
        <v>0</v>
      </c>
      <c r="O12" s="27">
        <f>TCO!L14</f>
        <v>0</v>
      </c>
      <c r="P12" s="29">
        <f t="shared" si="4"/>
        <v>0</v>
      </c>
      <c r="Q12" s="27">
        <f>'Parametre - Agendové IS'!D135</f>
        <v>0</v>
      </c>
      <c r="R12" s="27">
        <f>'Parametre - Agendové IS'!E135</f>
        <v>0</v>
      </c>
      <c r="S12" s="29">
        <f t="shared" si="5"/>
        <v>0</v>
      </c>
      <c r="T12" s="26">
        <f t="shared" si="6"/>
        <v>0</v>
      </c>
      <c r="U12" s="26">
        <f t="shared" si="7"/>
        <v>997310.7</v>
      </c>
      <c r="V12" s="29">
        <f t="shared" si="8"/>
        <v>997310.7</v>
      </c>
    </row>
    <row r="13" spans="1:23" ht="15.75" thickBot="1" x14ac:dyDescent="0.3">
      <c r="A13" s="39" t="s">
        <v>34</v>
      </c>
      <c r="B13" s="43">
        <f>TCO!M26+TCO!M27</f>
        <v>0</v>
      </c>
      <c r="C13" s="43">
        <f>(TCO!M$12*(1+$W$5))+TCO!M$13</f>
        <v>0</v>
      </c>
      <c r="D13" s="178">
        <f t="shared" si="0"/>
        <v>0</v>
      </c>
      <c r="E13" s="47">
        <f>TCO!M22+TCO!M23</f>
        <v>0</v>
      </c>
      <c r="F13" s="43">
        <f>(TCO!M$7*(1+$W$5))+TCO!M$8</f>
        <v>0</v>
      </c>
      <c r="G13" s="178">
        <f t="shared" si="1"/>
        <v>0</v>
      </c>
      <c r="H13" s="43">
        <f>TCO!M24+TCO!M25</f>
        <v>0</v>
      </c>
      <c r="I13" s="43">
        <f>(TCO!M$9*(1+$W$5))+TCO!M$10</f>
        <v>997310.7</v>
      </c>
      <c r="J13" s="178">
        <f t="shared" si="2"/>
        <v>997310.7</v>
      </c>
      <c r="K13" s="47">
        <v>0</v>
      </c>
      <c r="L13" s="47">
        <f>TCO!M11</f>
        <v>0</v>
      </c>
      <c r="M13" s="178">
        <f t="shared" si="3"/>
        <v>0</v>
      </c>
      <c r="N13" s="47">
        <v>0</v>
      </c>
      <c r="O13" s="47">
        <f>TCO!M14</f>
        <v>0</v>
      </c>
      <c r="P13" s="178">
        <f t="shared" si="4"/>
        <v>0</v>
      </c>
      <c r="Q13" s="47">
        <f>'Parametre - Agendové IS'!D136</f>
        <v>0</v>
      </c>
      <c r="R13" s="47">
        <f>'Parametre - Agendové IS'!E136</f>
        <v>0</v>
      </c>
      <c r="S13" s="178">
        <f t="shared" si="5"/>
        <v>0</v>
      </c>
      <c r="T13" s="26">
        <f t="shared" si="6"/>
        <v>0</v>
      </c>
      <c r="U13" s="26">
        <f t="shared" si="7"/>
        <v>997310.7</v>
      </c>
      <c r="V13" s="178">
        <f t="shared" si="8"/>
        <v>997310.7</v>
      </c>
    </row>
    <row r="14" spans="1:23" x14ac:dyDescent="0.25">
      <c r="A14" s="609" t="s">
        <v>108</v>
      </c>
      <c r="B14" s="600">
        <f t="shared" ref="B14:V14" si="9">SUM(B4:B13)</f>
        <v>0</v>
      </c>
      <c r="C14" s="598">
        <f t="shared" si="9"/>
        <v>0</v>
      </c>
      <c r="D14" s="597">
        <f t="shared" si="9"/>
        <v>0</v>
      </c>
      <c r="E14" s="600">
        <f t="shared" si="9"/>
        <v>0</v>
      </c>
      <c r="F14" s="598">
        <f t="shared" si="9"/>
        <v>3757056</v>
      </c>
      <c r="G14" s="597">
        <f t="shared" si="9"/>
        <v>3757056</v>
      </c>
      <c r="H14" s="600">
        <f t="shared" si="9"/>
        <v>0</v>
      </c>
      <c r="I14" s="598">
        <f t="shared" si="9"/>
        <v>21032539.599999994</v>
      </c>
      <c r="J14" s="597">
        <f t="shared" si="9"/>
        <v>21032539.599999994</v>
      </c>
      <c r="K14" s="600">
        <f t="shared" si="9"/>
        <v>0</v>
      </c>
      <c r="L14" s="598">
        <f t="shared" si="9"/>
        <v>0</v>
      </c>
      <c r="M14" s="597">
        <f t="shared" si="9"/>
        <v>0</v>
      </c>
      <c r="N14" s="600">
        <f t="shared" si="9"/>
        <v>0</v>
      </c>
      <c r="O14" s="598">
        <f t="shared" si="9"/>
        <v>1187900</v>
      </c>
      <c r="P14" s="597">
        <f t="shared" si="9"/>
        <v>1187900</v>
      </c>
      <c r="Q14" s="600">
        <f t="shared" si="9"/>
        <v>0</v>
      </c>
      <c r="R14" s="598">
        <f t="shared" si="9"/>
        <v>0</v>
      </c>
      <c r="S14" s="597">
        <f t="shared" si="9"/>
        <v>0</v>
      </c>
      <c r="T14" s="610">
        <f t="shared" si="9"/>
        <v>0</v>
      </c>
      <c r="U14" s="611">
        <f t="shared" si="9"/>
        <v>25977495.599999994</v>
      </c>
      <c r="V14" s="612">
        <f t="shared" si="9"/>
        <v>25977495.599999994</v>
      </c>
    </row>
    <row r="15" spans="1:23" ht="15.75" thickBot="1" x14ac:dyDescent="0.3">
      <c r="A15" s="609" t="s">
        <v>164</v>
      </c>
      <c r="B15" s="608"/>
      <c r="C15" s="606"/>
      <c r="D15" s="604">
        <f>D4+NPV(Faktory!$D$5,D5:D13)</f>
        <v>0</v>
      </c>
      <c r="E15" s="608"/>
      <c r="F15" s="606"/>
      <c r="G15" s="604">
        <f>G4+NPV(Faktory!$D$5,G5:G13)</f>
        <v>3757056</v>
      </c>
      <c r="H15" s="608"/>
      <c r="I15" s="606"/>
      <c r="J15" s="604">
        <f>J4+NPV(Faktory!$D$5,J5:J13)</f>
        <v>18731697.03076639</v>
      </c>
      <c r="K15" s="608"/>
      <c r="L15" s="606"/>
      <c r="M15" s="604">
        <f>M4+NPV(Faktory!$D$5,M5:M13)</f>
        <v>0</v>
      </c>
      <c r="N15" s="608"/>
      <c r="O15" s="606"/>
      <c r="P15" s="604">
        <f>P4+NPV(Faktory!$D$5,P5:P13)</f>
        <v>1136911.5646258504</v>
      </c>
      <c r="Q15" s="608"/>
      <c r="R15" s="606"/>
      <c r="S15" s="604">
        <f>S4+NPV(Faktory!$D$5,S5:S13)</f>
        <v>0</v>
      </c>
      <c r="T15" s="613"/>
      <c r="U15" s="614"/>
      <c r="V15" s="615">
        <f>V4+NPV(Faktory!$D$5,V5:V13)</f>
        <v>23625664.595392242</v>
      </c>
    </row>
    <row r="16" spans="1:23" x14ac:dyDescent="0.25">
      <c r="A16" s="145"/>
      <c r="B16" s="145"/>
      <c r="C16" s="145"/>
      <c r="D16" s="161"/>
      <c r="E16" s="145"/>
      <c r="F16" s="145"/>
      <c r="G16" s="161"/>
      <c r="H16" s="145"/>
      <c r="I16" s="145"/>
      <c r="J16" s="161"/>
      <c r="K16" s="161"/>
      <c r="L16" s="161"/>
      <c r="M16" s="161"/>
      <c r="N16" s="161"/>
      <c r="O16" s="161"/>
      <c r="P16" s="161"/>
      <c r="Q16" s="145"/>
      <c r="R16" s="145"/>
      <c r="S16" s="161"/>
      <c r="T16" s="179"/>
      <c r="U16" s="179"/>
      <c r="V16" s="179"/>
    </row>
    <row r="17" spans="1:2" x14ac:dyDescent="0.25">
      <c r="A17" s="106"/>
      <c r="B17" s="107" t="s">
        <v>174</v>
      </c>
    </row>
    <row r="22" spans="1:2" x14ac:dyDescent="0.25">
      <c r="B22" s="180"/>
    </row>
  </sheetData>
  <mergeCells count="10">
    <mergeCell ref="Q1:S1"/>
    <mergeCell ref="T1:V1"/>
    <mergeCell ref="B2:D2"/>
    <mergeCell ref="E2:G2"/>
    <mergeCell ref="H2:J2"/>
    <mergeCell ref="Q2:S2"/>
    <mergeCell ref="N1:P1"/>
    <mergeCell ref="N2:P2"/>
    <mergeCell ref="K2:M2"/>
    <mergeCell ref="B1:M1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T156"/>
  <sheetViews>
    <sheetView view="pageBreakPreview" topLeftCell="A7" zoomScale="85" zoomScaleNormal="80" zoomScaleSheetLayoutView="85" workbookViewId="0">
      <selection activeCell="H28" sqref="H28:H35"/>
    </sheetView>
  </sheetViews>
  <sheetFormatPr defaultColWidth="9.140625" defaultRowHeight="15" x14ac:dyDescent="0.25"/>
  <cols>
    <col min="1" max="1" width="19.140625" style="410" customWidth="1"/>
    <col min="2" max="2" width="9.85546875" style="410" bestFit="1" customWidth="1"/>
    <col min="3" max="3" width="8.85546875" style="410" bestFit="1" customWidth="1"/>
    <col min="4" max="5" width="19.42578125" style="410" bestFit="1" customWidth="1"/>
    <col min="6" max="6" width="18.5703125" style="410" bestFit="1" customWidth="1"/>
    <col min="7" max="7" width="19.42578125" style="456" bestFit="1" customWidth="1"/>
    <col min="8" max="8" width="19.42578125" style="513" bestFit="1" customWidth="1"/>
    <col min="9" max="9" width="18.5703125" style="456" bestFit="1" customWidth="1"/>
    <col min="10" max="10" width="12.85546875" style="410" bestFit="1" customWidth="1"/>
    <col min="11" max="11" width="14.42578125" style="410" bestFit="1" customWidth="1"/>
    <col min="12" max="12" width="12.85546875" style="410" bestFit="1" customWidth="1"/>
    <col min="13" max="13" width="10.28515625" style="514" customWidth="1"/>
    <col min="14" max="14" width="14.42578125" style="513" bestFit="1" customWidth="1"/>
    <col min="15" max="15" width="14.42578125" style="456" bestFit="1" customWidth="1"/>
    <col min="16" max="16" width="10.28515625" style="514" customWidth="1"/>
    <col min="17" max="17" width="10.28515625" style="513" customWidth="1"/>
    <col min="18" max="18" width="10.28515625" style="700" customWidth="1"/>
    <col min="19" max="19" width="10.28515625" style="514" customWidth="1"/>
    <col min="20" max="20" width="10.28515625" style="513" customWidth="1"/>
    <col min="21" max="21" width="10.28515625" style="700" customWidth="1"/>
    <col min="22" max="22" width="10.28515625" style="514" customWidth="1"/>
    <col min="23" max="23" width="10.28515625" style="513" customWidth="1"/>
    <col min="24" max="24" width="10.28515625" style="700" customWidth="1"/>
    <col min="25" max="25" width="10.28515625" style="514" customWidth="1"/>
    <col min="26" max="26" width="10.28515625" style="513" customWidth="1"/>
    <col min="27" max="27" width="10.28515625" style="700" customWidth="1"/>
    <col min="28" max="28" width="10.28515625" style="514" customWidth="1"/>
    <col min="29" max="29" width="10.28515625" style="513" customWidth="1"/>
    <col min="30" max="30" width="10.28515625" style="700" customWidth="1"/>
    <col min="31" max="31" width="10.28515625" style="514" customWidth="1"/>
    <col min="32" max="32" width="10.28515625" style="513" customWidth="1"/>
    <col min="33" max="33" width="10.28515625" style="700" customWidth="1"/>
    <col min="34" max="34" width="10.28515625" style="514" customWidth="1"/>
    <col min="35" max="35" width="10.28515625" style="513" customWidth="1"/>
    <col min="36" max="36" width="10.28515625" style="700" customWidth="1"/>
    <col min="37" max="37" width="10.28515625" style="514" customWidth="1"/>
    <col min="38" max="38" width="10.28515625" style="513" customWidth="1"/>
    <col min="39" max="39" width="10.28515625" style="700" customWidth="1"/>
    <col min="40" max="40" width="10.28515625" style="514" customWidth="1"/>
    <col min="41" max="41" width="10.28515625" style="513" customWidth="1"/>
    <col min="42" max="42" width="10.28515625" style="700" customWidth="1"/>
    <col min="43" max="43" width="10.28515625" style="514" customWidth="1"/>
    <col min="44" max="44" width="10.28515625" style="513" customWidth="1"/>
    <col min="45" max="45" width="10.28515625" style="456" customWidth="1"/>
    <col min="46" max="46" width="14.7109375" style="491" customWidth="1"/>
    <col min="47" max="49" width="9.140625" style="410" customWidth="1"/>
    <col min="50" max="50" width="12.42578125" style="410" bestFit="1" customWidth="1"/>
    <col min="51" max="285" width="9.140625" style="410" customWidth="1"/>
    <col min="286" max="286" width="1.7109375" style="410" customWidth="1"/>
    <col min="287" max="287" width="19.140625" style="410" customWidth="1"/>
    <col min="288" max="288" width="35.140625" style="410" customWidth="1"/>
    <col min="289" max="289" width="9.85546875" style="410" bestFit="1" customWidth="1"/>
    <col min="290" max="290" width="8.85546875" style="410" bestFit="1" customWidth="1"/>
    <col min="291" max="301" width="10.28515625" style="410" customWidth="1"/>
    <col min="302" max="541" width="9.140625" style="410" customWidth="1"/>
    <col min="542" max="542" width="1.7109375" style="410" customWidth="1"/>
    <col min="543" max="543" width="19.140625" style="410" customWidth="1"/>
    <col min="544" max="544" width="35.140625" style="410" customWidth="1"/>
    <col min="545" max="545" width="9.85546875" style="410" bestFit="1" customWidth="1"/>
    <col min="546" max="546" width="8.85546875" style="410" bestFit="1" customWidth="1"/>
    <col min="547" max="557" width="10.28515625" style="410" customWidth="1"/>
    <col min="558" max="797" width="9.140625" style="410" customWidth="1"/>
    <col min="798" max="798" width="1.7109375" style="410" customWidth="1"/>
    <col min="799" max="799" width="19.140625" style="410" customWidth="1"/>
    <col min="800" max="800" width="35.140625" style="410" customWidth="1"/>
    <col min="801" max="801" width="9.85546875" style="410" bestFit="1" customWidth="1"/>
    <col min="802" max="802" width="8.85546875" style="410" bestFit="1" customWidth="1"/>
    <col min="803" max="813" width="10.28515625" style="410" customWidth="1"/>
    <col min="814" max="1053" width="9.140625" style="410" customWidth="1"/>
    <col min="1054" max="1054" width="1.7109375" style="410" customWidth="1"/>
    <col min="1055" max="1055" width="19.140625" style="410" customWidth="1"/>
    <col min="1056" max="1056" width="35.140625" style="410" customWidth="1"/>
    <col min="1057" max="1057" width="9.85546875" style="410" bestFit="1" customWidth="1"/>
    <col min="1058" max="1058" width="8.85546875" style="410" bestFit="1" customWidth="1"/>
    <col min="1059" max="1069" width="10.28515625" style="410" customWidth="1"/>
    <col min="1070" max="1309" width="9.140625" style="410" customWidth="1"/>
    <col min="1310" max="1310" width="1.7109375" style="410" customWidth="1"/>
    <col min="1311" max="1311" width="19.140625" style="410" customWidth="1"/>
    <col min="1312" max="1312" width="35.140625" style="410" customWidth="1"/>
    <col min="1313" max="1313" width="9.85546875" style="410" bestFit="1" customWidth="1"/>
    <col min="1314" max="1314" width="8.85546875" style="410" bestFit="1" customWidth="1"/>
    <col min="1315" max="1325" width="10.28515625" style="410" customWidth="1"/>
    <col min="1326" max="1565" width="9.140625" style="410" customWidth="1"/>
    <col min="1566" max="1566" width="1.7109375" style="410" customWidth="1"/>
    <col min="1567" max="1567" width="19.140625" style="410" customWidth="1"/>
    <col min="1568" max="1568" width="35.140625" style="410" customWidth="1"/>
    <col min="1569" max="1569" width="9.85546875" style="410" bestFit="1" customWidth="1"/>
    <col min="1570" max="1570" width="8.85546875" style="410" bestFit="1" customWidth="1"/>
    <col min="1571" max="1581" width="10.28515625" style="410" customWidth="1"/>
    <col min="1582" max="1821" width="9.140625" style="410" customWidth="1"/>
    <col min="1822" max="1822" width="1.7109375" style="410" customWidth="1"/>
    <col min="1823" max="1823" width="19.140625" style="410" customWidth="1"/>
    <col min="1824" max="1824" width="35.140625" style="410" customWidth="1"/>
    <col min="1825" max="1825" width="9.85546875" style="410" bestFit="1" customWidth="1"/>
    <col min="1826" max="1826" width="8.85546875" style="410" bestFit="1" customWidth="1"/>
    <col min="1827" max="1837" width="10.28515625" style="410" customWidth="1"/>
    <col min="1838" max="2077" width="9.140625" style="410" customWidth="1"/>
    <col min="2078" max="2078" width="1.7109375" style="410" customWidth="1"/>
    <col min="2079" max="2079" width="19.140625" style="410" customWidth="1"/>
    <col min="2080" max="2080" width="35.140625" style="410" customWidth="1"/>
    <col min="2081" max="2081" width="9.85546875" style="410" bestFit="1" customWidth="1"/>
    <col min="2082" max="2082" width="8.85546875" style="410" bestFit="1" customWidth="1"/>
    <col min="2083" max="2093" width="10.28515625" style="410" customWidth="1"/>
    <col min="2094" max="2333" width="9.140625" style="410" customWidth="1"/>
    <col min="2334" max="2334" width="1.7109375" style="410" customWidth="1"/>
    <col min="2335" max="2335" width="19.140625" style="410" customWidth="1"/>
    <col min="2336" max="2336" width="35.140625" style="410" customWidth="1"/>
    <col min="2337" max="2337" width="9.85546875" style="410" bestFit="1" customWidth="1"/>
    <col min="2338" max="2338" width="8.85546875" style="410" bestFit="1" customWidth="1"/>
    <col min="2339" max="2349" width="10.28515625" style="410" customWidth="1"/>
    <col min="2350" max="2589" width="9.140625" style="410" customWidth="1"/>
    <col min="2590" max="2590" width="1.7109375" style="410" customWidth="1"/>
    <col min="2591" max="2591" width="19.140625" style="410" customWidth="1"/>
    <col min="2592" max="2592" width="35.140625" style="410" customWidth="1"/>
    <col min="2593" max="2593" width="9.85546875" style="410" bestFit="1" customWidth="1"/>
    <col min="2594" max="2594" width="8.85546875" style="410" bestFit="1" customWidth="1"/>
    <col min="2595" max="2605" width="10.28515625" style="410" customWidth="1"/>
    <col min="2606" max="2845" width="9.140625" style="410" customWidth="1"/>
    <col min="2846" max="2846" width="1.7109375" style="410" customWidth="1"/>
    <col min="2847" max="2847" width="19.140625" style="410" customWidth="1"/>
    <col min="2848" max="2848" width="35.140625" style="410" customWidth="1"/>
    <col min="2849" max="2849" width="9.85546875" style="410" bestFit="1" customWidth="1"/>
    <col min="2850" max="2850" width="8.85546875" style="410" bestFit="1" customWidth="1"/>
    <col min="2851" max="2861" width="10.28515625" style="410" customWidth="1"/>
    <col min="2862" max="3101" width="9.140625" style="410" customWidth="1"/>
    <col min="3102" max="3102" width="1.7109375" style="410" customWidth="1"/>
    <col min="3103" max="3103" width="19.140625" style="410" customWidth="1"/>
    <col min="3104" max="3104" width="35.140625" style="410" customWidth="1"/>
    <col min="3105" max="3105" width="9.85546875" style="410" bestFit="1" customWidth="1"/>
    <col min="3106" max="3106" width="8.85546875" style="410" bestFit="1" customWidth="1"/>
    <col min="3107" max="3117" width="10.28515625" style="410" customWidth="1"/>
    <col min="3118" max="3357" width="9.140625" style="410" customWidth="1"/>
    <col min="3358" max="3358" width="1.7109375" style="410" customWidth="1"/>
    <col min="3359" max="3359" width="19.140625" style="410" customWidth="1"/>
    <col min="3360" max="3360" width="35.140625" style="410" customWidth="1"/>
    <col min="3361" max="3361" width="9.85546875" style="410" bestFit="1" customWidth="1"/>
    <col min="3362" max="3362" width="8.85546875" style="410" bestFit="1" customWidth="1"/>
    <col min="3363" max="3373" width="10.28515625" style="410" customWidth="1"/>
    <col min="3374" max="3613" width="9.140625" style="410" customWidth="1"/>
    <col min="3614" max="3614" width="1.7109375" style="410" customWidth="1"/>
    <col min="3615" max="3615" width="19.140625" style="410" customWidth="1"/>
    <col min="3616" max="3616" width="35.140625" style="410" customWidth="1"/>
    <col min="3617" max="3617" width="9.85546875" style="410" bestFit="1" customWidth="1"/>
    <col min="3618" max="3618" width="8.85546875" style="410" bestFit="1" customWidth="1"/>
    <col min="3619" max="3629" width="10.28515625" style="410" customWidth="1"/>
    <col min="3630" max="3869" width="9.140625" style="410" customWidth="1"/>
    <col min="3870" max="3870" width="1.7109375" style="410" customWidth="1"/>
    <col min="3871" max="3871" width="19.140625" style="410" customWidth="1"/>
    <col min="3872" max="3872" width="35.140625" style="410" customWidth="1"/>
    <col min="3873" max="3873" width="9.85546875" style="410" bestFit="1" customWidth="1"/>
    <col min="3874" max="3874" width="8.85546875" style="410" bestFit="1" customWidth="1"/>
    <col min="3875" max="3885" width="10.28515625" style="410" customWidth="1"/>
    <col min="3886" max="4125" width="9.140625" style="410" customWidth="1"/>
    <col min="4126" max="4126" width="1.7109375" style="410" customWidth="1"/>
    <col min="4127" max="4127" width="19.140625" style="410" customWidth="1"/>
    <col min="4128" max="4128" width="35.140625" style="410" customWidth="1"/>
    <col min="4129" max="4129" width="9.85546875" style="410" bestFit="1" customWidth="1"/>
    <col min="4130" max="4130" width="8.85546875" style="410" bestFit="1" customWidth="1"/>
    <col min="4131" max="4141" width="10.28515625" style="410" customWidth="1"/>
    <col min="4142" max="4381" width="9.140625" style="410" customWidth="1"/>
    <col min="4382" max="4382" width="1.7109375" style="410" customWidth="1"/>
    <col min="4383" max="4383" width="19.140625" style="410" customWidth="1"/>
    <col min="4384" max="4384" width="35.140625" style="410" customWidth="1"/>
    <col min="4385" max="4385" width="9.85546875" style="410" bestFit="1" customWidth="1"/>
    <col min="4386" max="4386" width="8.85546875" style="410" bestFit="1" customWidth="1"/>
    <col min="4387" max="4397" width="10.28515625" style="410" customWidth="1"/>
    <col min="4398" max="4637" width="9.140625" style="410" customWidth="1"/>
    <col min="4638" max="4638" width="1.7109375" style="410" customWidth="1"/>
    <col min="4639" max="4639" width="19.140625" style="410" customWidth="1"/>
    <col min="4640" max="4640" width="35.140625" style="410" customWidth="1"/>
    <col min="4641" max="4641" width="9.85546875" style="410" bestFit="1" customWidth="1"/>
    <col min="4642" max="4642" width="8.85546875" style="410" bestFit="1" customWidth="1"/>
    <col min="4643" max="4653" width="10.28515625" style="410" customWidth="1"/>
    <col min="4654" max="4893" width="9.140625" style="410" customWidth="1"/>
    <col min="4894" max="4894" width="1.7109375" style="410" customWidth="1"/>
    <col min="4895" max="4895" width="19.140625" style="410" customWidth="1"/>
    <col min="4896" max="4896" width="35.140625" style="410" customWidth="1"/>
    <col min="4897" max="4897" width="9.85546875" style="410" bestFit="1" customWidth="1"/>
    <col min="4898" max="4898" width="8.85546875" style="410" bestFit="1" customWidth="1"/>
    <col min="4899" max="4909" width="10.28515625" style="410" customWidth="1"/>
    <col min="4910" max="5149" width="9.140625" style="410" customWidth="1"/>
    <col min="5150" max="5150" width="1.7109375" style="410" customWidth="1"/>
    <col min="5151" max="5151" width="19.140625" style="410" customWidth="1"/>
    <col min="5152" max="5152" width="35.140625" style="410" customWidth="1"/>
    <col min="5153" max="5153" width="9.85546875" style="410" bestFit="1" customWidth="1"/>
    <col min="5154" max="5154" width="8.85546875" style="410" bestFit="1" customWidth="1"/>
    <col min="5155" max="5165" width="10.28515625" style="410" customWidth="1"/>
    <col min="5166" max="5405" width="9.140625" style="410" customWidth="1"/>
    <col min="5406" max="5406" width="1.7109375" style="410" customWidth="1"/>
    <col min="5407" max="5407" width="19.140625" style="410" customWidth="1"/>
    <col min="5408" max="5408" width="35.140625" style="410" customWidth="1"/>
    <col min="5409" max="5409" width="9.85546875" style="410" bestFit="1" customWidth="1"/>
    <col min="5410" max="5410" width="8.85546875" style="410" bestFit="1" customWidth="1"/>
    <col min="5411" max="5421" width="10.28515625" style="410" customWidth="1"/>
    <col min="5422" max="5661" width="9.140625" style="410" customWidth="1"/>
    <col min="5662" max="5662" width="1.7109375" style="410" customWidth="1"/>
    <col min="5663" max="5663" width="19.140625" style="410" customWidth="1"/>
    <col min="5664" max="5664" width="35.140625" style="410" customWidth="1"/>
    <col min="5665" max="5665" width="9.85546875" style="410" bestFit="1" customWidth="1"/>
    <col min="5666" max="5666" width="8.85546875" style="410" bestFit="1" customWidth="1"/>
    <col min="5667" max="5677" width="10.28515625" style="410" customWidth="1"/>
    <col min="5678" max="5917" width="9.140625" style="410" customWidth="1"/>
    <col min="5918" max="5918" width="1.7109375" style="410" customWidth="1"/>
    <col min="5919" max="5919" width="19.140625" style="410" customWidth="1"/>
    <col min="5920" max="5920" width="35.140625" style="410" customWidth="1"/>
    <col min="5921" max="5921" width="9.85546875" style="410" bestFit="1" customWidth="1"/>
    <col min="5922" max="5922" width="8.85546875" style="410" bestFit="1" customWidth="1"/>
    <col min="5923" max="5933" width="10.28515625" style="410" customWidth="1"/>
    <col min="5934" max="6173" width="9.140625" style="410" customWidth="1"/>
    <col min="6174" max="6174" width="1.7109375" style="410" customWidth="1"/>
    <col min="6175" max="6175" width="19.140625" style="410" customWidth="1"/>
    <col min="6176" max="6176" width="35.140625" style="410" customWidth="1"/>
    <col min="6177" max="6177" width="9.85546875" style="410" bestFit="1" customWidth="1"/>
    <col min="6178" max="6178" width="8.85546875" style="410" bestFit="1" customWidth="1"/>
    <col min="6179" max="6189" width="10.28515625" style="410" customWidth="1"/>
    <col min="6190" max="6429" width="9.140625" style="410" customWidth="1"/>
    <col min="6430" max="6430" width="1.7109375" style="410" customWidth="1"/>
    <col min="6431" max="6431" width="19.140625" style="410" customWidth="1"/>
    <col min="6432" max="6432" width="35.140625" style="410" customWidth="1"/>
    <col min="6433" max="6433" width="9.85546875" style="410" bestFit="1" customWidth="1"/>
    <col min="6434" max="6434" width="8.85546875" style="410" bestFit="1" customWidth="1"/>
    <col min="6435" max="6445" width="10.28515625" style="410" customWidth="1"/>
    <col min="6446" max="6685" width="9.140625" style="410" customWidth="1"/>
    <col min="6686" max="6686" width="1.7109375" style="410" customWidth="1"/>
    <col min="6687" max="6687" width="19.140625" style="410" customWidth="1"/>
    <col min="6688" max="6688" width="35.140625" style="410" customWidth="1"/>
    <col min="6689" max="6689" width="9.85546875" style="410" bestFit="1" customWidth="1"/>
    <col min="6690" max="6690" width="8.85546875" style="410" bestFit="1" customWidth="1"/>
    <col min="6691" max="6701" width="10.28515625" style="410" customWidth="1"/>
    <col min="6702" max="6941" width="9.140625" style="410" customWidth="1"/>
    <col min="6942" max="6942" width="1.7109375" style="410" customWidth="1"/>
    <col min="6943" max="6943" width="19.140625" style="410" customWidth="1"/>
    <col min="6944" max="6944" width="35.140625" style="410" customWidth="1"/>
    <col min="6945" max="6945" width="9.85546875" style="410" bestFit="1" customWidth="1"/>
    <col min="6946" max="6946" width="8.85546875" style="410" bestFit="1" customWidth="1"/>
    <col min="6947" max="6957" width="10.28515625" style="410" customWidth="1"/>
    <col min="6958" max="7197" width="9.140625" style="410" customWidth="1"/>
    <col min="7198" max="7198" width="1.7109375" style="410" customWidth="1"/>
    <col min="7199" max="7199" width="19.140625" style="410" customWidth="1"/>
    <col min="7200" max="7200" width="35.140625" style="410" customWidth="1"/>
    <col min="7201" max="7201" width="9.85546875" style="410" bestFit="1" customWidth="1"/>
    <col min="7202" max="7202" width="8.85546875" style="410" bestFit="1" customWidth="1"/>
    <col min="7203" max="7213" width="10.28515625" style="410" customWidth="1"/>
    <col min="7214" max="7453" width="9.140625" style="410" customWidth="1"/>
    <col min="7454" max="7454" width="1.7109375" style="410" customWidth="1"/>
    <col min="7455" max="7455" width="19.140625" style="410" customWidth="1"/>
    <col min="7456" max="7456" width="35.140625" style="410" customWidth="1"/>
    <col min="7457" max="7457" width="9.85546875" style="410" bestFit="1" customWidth="1"/>
    <col min="7458" max="7458" width="8.85546875" style="410" bestFit="1" customWidth="1"/>
    <col min="7459" max="7469" width="10.28515625" style="410" customWidth="1"/>
    <col min="7470" max="7709" width="9.140625" style="410" customWidth="1"/>
    <col min="7710" max="7710" width="1.7109375" style="410" customWidth="1"/>
    <col min="7711" max="7711" width="19.140625" style="410" customWidth="1"/>
    <col min="7712" max="7712" width="35.140625" style="410" customWidth="1"/>
    <col min="7713" max="7713" width="9.85546875" style="410" bestFit="1" customWidth="1"/>
    <col min="7714" max="7714" width="8.85546875" style="410" bestFit="1" customWidth="1"/>
    <col min="7715" max="7725" width="10.28515625" style="410" customWidth="1"/>
    <col min="7726" max="7965" width="9.140625" style="410" customWidth="1"/>
    <col min="7966" max="7966" width="1.7109375" style="410" customWidth="1"/>
    <col min="7967" max="7967" width="19.140625" style="410" customWidth="1"/>
    <col min="7968" max="7968" width="35.140625" style="410" customWidth="1"/>
    <col min="7969" max="7969" width="9.85546875" style="410" bestFit="1" customWidth="1"/>
    <col min="7970" max="7970" width="8.85546875" style="410" bestFit="1" customWidth="1"/>
    <col min="7971" max="7981" width="10.28515625" style="410" customWidth="1"/>
    <col min="7982" max="8221" width="9.140625" style="410" customWidth="1"/>
    <col min="8222" max="8222" width="1.7109375" style="410" customWidth="1"/>
    <col min="8223" max="8223" width="19.140625" style="410" customWidth="1"/>
    <col min="8224" max="8224" width="35.140625" style="410" customWidth="1"/>
    <col min="8225" max="8225" width="9.85546875" style="410" bestFit="1" customWidth="1"/>
    <col min="8226" max="8226" width="8.85546875" style="410" bestFit="1" customWidth="1"/>
    <col min="8227" max="8237" width="10.28515625" style="410" customWidth="1"/>
    <col min="8238" max="8477" width="9.140625" style="410" customWidth="1"/>
    <col min="8478" max="8478" width="1.7109375" style="410" customWidth="1"/>
    <col min="8479" max="8479" width="19.140625" style="410" customWidth="1"/>
    <col min="8480" max="8480" width="35.140625" style="410" customWidth="1"/>
    <col min="8481" max="8481" width="9.85546875" style="410" bestFit="1" customWidth="1"/>
    <col min="8482" max="8482" width="8.85546875" style="410" bestFit="1" customWidth="1"/>
    <col min="8483" max="8493" width="10.28515625" style="410" customWidth="1"/>
    <col min="8494" max="8733" width="9.140625" style="410" customWidth="1"/>
    <col min="8734" max="8734" width="1.7109375" style="410" customWidth="1"/>
    <col min="8735" max="8735" width="19.140625" style="410" customWidth="1"/>
    <col min="8736" max="8736" width="35.140625" style="410" customWidth="1"/>
    <col min="8737" max="8737" width="9.85546875" style="410" bestFit="1" customWidth="1"/>
    <col min="8738" max="8738" width="8.85546875" style="410" bestFit="1" customWidth="1"/>
    <col min="8739" max="8749" width="10.28515625" style="410" customWidth="1"/>
    <col min="8750" max="8989" width="9.140625" style="410" customWidth="1"/>
    <col min="8990" max="8990" width="1.7109375" style="410" customWidth="1"/>
    <col min="8991" max="8991" width="19.140625" style="410" customWidth="1"/>
    <col min="8992" max="8992" width="35.140625" style="410" customWidth="1"/>
    <col min="8993" max="8993" width="9.85546875" style="410" bestFit="1" customWidth="1"/>
    <col min="8994" max="8994" width="8.85546875" style="410" bestFit="1" customWidth="1"/>
    <col min="8995" max="9005" width="10.28515625" style="410" customWidth="1"/>
    <col min="9006" max="9245" width="9.140625" style="410" customWidth="1"/>
    <col min="9246" max="9246" width="1.7109375" style="410" customWidth="1"/>
    <col min="9247" max="9247" width="19.140625" style="410" customWidth="1"/>
    <col min="9248" max="9248" width="35.140625" style="410" customWidth="1"/>
    <col min="9249" max="9249" width="9.85546875" style="410" bestFit="1" customWidth="1"/>
    <col min="9250" max="9250" width="8.85546875" style="410" bestFit="1" customWidth="1"/>
    <col min="9251" max="9261" width="10.28515625" style="410" customWidth="1"/>
    <col min="9262" max="9501" width="9.140625" style="410" customWidth="1"/>
    <col min="9502" max="9502" width="1.7109375" style="410" customWidth="1"/>
    <col min="9503" max="9503" width="19.140625" style="410" customWidth="1"/>
    <col min="9504" max="9504" width="35.140625" style="410" customWidth="1"/>
    <col min="9505" max="9505" width="9.85546875" style="410" bestFit="1" customWidth="1"/>
    <col min="9506" max="9506" width="8.85546875" style="410" bestFit="1" customWidth="1"/>
    <col min="9507" max="9517" width="10.28515625" style="410" customWidth="1"/>
    <col min="9518" max="9757" width="9.140625" style="410" customWidth="1"/>
    <col min="9758" max="9758" width="1.7109375" style="410" customWidth="1"/>
    <col min="9759" max="9759" width="19.140625" style="410" customWidth="1"/>
    <col min="9760" max="9760" width="35.140625" style="410" customWidth="1"/>
    <col min="9761" max="9761" width="9.85546875" style="410" bestFit="1" customWidth="1"/>
    <col min="9762" max="9762" width="8.85546875" style="410" bestFit="1" customWidth="1"/>
    <col min="9763" max="9773" width="10.28515625" style="410" customWidth="1"/>
    <col min="9774" max="10013" width="9.140625" style="410" customWidth="1"/>
    <col min="10014" max="10014" width="1.7109375" style="410" customWidth="1"/>
    <col min="10015" max="10015" width="19.140625" style="410" customWidth="1"/>
    <col min="10016" max="10016" width="35.140625" style="410" customWidth="1"/>
    <col min="10017" max="10017" width="9.85546875" style="410" bestFit="1" customWidth="1"/>
    <col min="10018" max="10018" width="8.85546875" style="410" bestFit="1" customWidth="1"/>
    <col min="10019" max="10029" width="10.28515625" style="410" customWidth="1"/>
    <col min="10030" max="10269" width="9.140625" style="410" customWidth="1"/>
    <col min="10270" max="10270" width="1.7109375" style="410" customWidth="1"/>
    <col min="10271" max="10271" width="19.140625" style="410" customWidth="1"/>
    <col min="10272" max="10272" width="35.140625" style="410" customWidth="1"/>
    <col min="10273" max="10273" width="9.85546875" style="410" bestFit="1" customWidth="1"/>
    <col min="10274" max="10274" width="8.85546875" style="410" bestFit="1" customWidth="1"/>
    <col min="10275" max="10285" width="10.28515625" style="410" customWidth="1"/>
    <col min="10286" max="10525" width="9.140625" style="410" customWidth="1"/>
    <col min="10526" max="10526" width="1.7109375" style="410" customWidth="1"/>
    <col min="10527" max="10527" width="19.140625" style="410" customWidth="1"/>
    <col min="10528" max="10528" width="35.140625" style="410" customWidth="1"/>
    <col min="10529" max="10529" width="9.85546875" style="410" bestFit="1" customWidth="1"/>
    <col min="10530" max="10530" width="8.85546875" style="410" bestFit="1" customWidth="1"/>
    <col min="10531" max="10541" width="10.28515625" style="410" customWidth="1"/>
    <col min="10542" max="10781" width="9.140625" style="410" customWidth="1"/>
    <col min="10782" max="10782" width="1.7109375" style="410" customWidth="1"/>
    <col min="10783" max="10783" width="19.140625" style="410" customWidth="1"/>
    <col min="10784" max="10784" width="35.140625" style="410" customWidth="1"/>
    <col min="10785" max="10785" width="9.85546875" style="410" bestFit="1" customWidth="1"/>
    <col min="10786" max="10786" width="8.85546875" style="410" bestFit="1" customWidth="1"/>
    <col min="10787" max="10797" width="10.28515625" style="410" customWidth="1"/>
    <col min="10798" max="11037" width="9.140625" style="410" customWidth="1"/>
    <col min="11038" max="11038" width="1.7109375" style="410" customWidth="1"/>
    <col min="11039" max="11039" width="19.140625" style="410" customWidth="1"/>
    <col min="11040" max="11040" width="35.140625" style="410" customWidth="1"/>
    <col min="11041" max="11041" width="9.85546875" style="410" bestFit="1" customWidth="1"/>
    <col min="11042" max="11042" width="8.85546875" style="410" bestFit="1" customWidth="1"/>
    <col min="11043" max="11053" width="10.28515625" style="410" customWidth="1"/>
    <col min="11054" max="11293" width="9.140625" style="410" customWidth="1"/>
    <col min="11294" max="11294" width="1.7109375" style="410" customWidth="1"/>
    <col min="11295" max="11295" width="19.140625" style="410" customWidth="1"/>
    <col min="11296" max="11296" width="35.140625" style="410" customWidth="1"/>
    <col min="11297" max="11297" width="9.85546875" style="410" bestFit="1" customWidth="1"/>
    <col min="11298" max="11298" width="8.85546875" style="410" bestFit="1" customWidth="1"/>
    <col min="11299" max="11309" width="10.28515625" style="410" customWidth="1"/>
    <col min="11310" max="11549" width="9.140625" style="410" customWidth="1"/>
    <col min="11550" max="11550" width="1.7109375" style="410" customWidth="1"/>
    <col min="11551" max="11551" width="19.140625" style="410" customWidth="1"/>
    <col min="11552" max="11552" width="35.140625" style="410" customWidth="1"/>
    <col min="11553" max="11553" width="9.85546875" style="410" bestFit="1" customWidth="1"/>
    <col min="11554" max="11554" width="8.85546875" style="410" bestFit="1" customWidth="1"/>
    <col min="11555" max="11565" width="10.28515625" style="410" customWidth="1"/>
    <col min="11566" max="11805" width="9.140625" style="410" customWidth="1"/>
    <col min="11806" max="11806" width="1.7109375" style="410" customWidth="1"/>
    <col min="11807" max="11807" width="19.140625" style="410" customWidth="1"/>
    <col min="11808" max="11808" width="35.140625" style="410" customWidth="1"/>
    <col min="11809" max="11809" width="9.85546875" style="410" bestFit="1" customWidth="1"/>
    <col min="11810" max="11810" width="8.85546875" style="410" bestFit="1" customWidth="1"/>
    <col min="11811" max="11821" width="10.28515625" style="410" customWidth="1"/>
    <col min="11822" max="12061" width="9.140625" style="410" customWidth="1"/>
    <col min="12062" max="12062" width="1.7109375" style="410" customWidth="1"/>
    <col min="12063" max="12063" width="19.140625" style="410" customWidth="1"/>
    <col min="12064" max="12064" width="35.140625" style="410" customWidth="1"/>
    <col min="12065" max="12065" width="9.85546875" style="410" bestFit="1" customWidth="1"/>
    <col min="12066" max="12066" width="8.85546875" style="410" bestFit="1" customWidth="1"/>
    <col min="12067" max="12077" width="10.28515625" style="410" customWidth="1"/>
    <col min="12078" max="12317" width="9.140625" style="410" customWidth="1"/>
    <col min="12318" max="12318" width="1.7109375" style="410" customWidth="1"/>
    <col min="12319" max="12319" width="19.140625" style="410" customWidth="1"/>
    <col min="12320" max="12320" width="35.140625" style="410" customWidth="1"/>
    <col min="12321" max="12321" width="9.85546875" style="410" bestFit="1" customWidth="1"/>
    <col min="12322" max="12322" width="8.85546875" style="410" bestFit="1" customWidth="1"/>
    <col min="12323" max="12333" width="10.28515625" style="410" customWidth="1"/>
    <col min="12334" max="12573" width="9.140625" style="410" customWidth="1"/>
    <col min="12574" max="12574" width="1.7109375" style="410" customWidth="1"/>
    <col min="12575" max="12575" width="19.140625" style="410" customWidth="1"/>
    <col min="12576" max="12576" width="35.140625" style="410" customWidth="1"/>
    <col min="12577" max="12577" width="9.85546875" style="410" bestFit="1" customWidth="1"/>
    <col min="12578" max="12578" width="8.85546875" style="410" bestFit="1" customWidth="1"/>
    <col min="12579" max="12589" width="10.28515625" style="410" customWidth="1"/>
    <col min="12590" max="12829" width="9.140625" style="410" customWidth="1"/>
    <col min="12830" max="12830" width="1.7109375" style="410" customWidth="1"/>
    <col min="12831" max="12831" width="19.140625" style="410" customWidth="1"/>
    <col min="12832" max="12832" width="35.140625" style="410" customWidth="1"/>
    <col min="12833" max="12833" width="9.85546875" style="410" bestFit="1" customWidth="1"/>
    <col min="12834" max="12834" width="8.85546875" style="410" bestFit="1" customWidth="1"/>
    <col min="12835" max="12845" width="10.28515625" style="410" customWidth="1"/>
    <col min="12846" max="13085" width="9.140625" style="410" customWidth="1"/>
    <col min="13086" max="13086" width="1.7109375" style="410" customWidth="1"/>
    <col min="13087" max="13087" width="19.140625" style="410" customWidth="1"/>
    <col min="13088" max="13088" width="35.140625" style="410" customWidth="1"/>
    <col min="13089" max="13089" width="9.85546875" style="410" bestFit="1" customWidth="1"/>
    <col min="13090" max="13090" width="8.85546875" style="410" bestFit="1" customWidth="1"/>
    <col min="13091" max="13101" width="10.28515625" style="410" customWidth="1"/>
    <col min="13102" max="13341" width="9.140625" style="410" customWidth="1"/>
    <col min="13342" max="13342" width="1.7109375" style="410" customWidth="1"/>
    <col min="13343" max="13343" width="19.140625" style="410" customWidth="1"/>
    <col min="13344" max="13344" width="35.140625" style="410" customWidth="1"/>
    <col min="13345" max="13345" width="9.85546875" style="410" bestFit="1" customWidth="1"/>
    <col min="13346" max="13346" width="8.85546875" style="410" bestFit="1" customWidth="1"/>
    <col min="13347" max="13357" width="10.28515625" style="410" customWidth="1"/>
    <col min="13358" max="13597" width="9.140625" style="410" customWidth="1"/>
    <col min="13598" max="13598" width="1.7109375" style="410" customWidth="1"/>
    <col min="13599" max="13599" width="19.140625" style="410" customWidth="1"/>
    <col min="13600" max="13600" width="35.140625" style="410" customWidth="1"/>
    <col min="13601" max="13601" width="9.85546875" style="410" bestFit="1" customWidth="1"/>
    <col min="13602" max="13602" width="8.85546875" style="410" bestFit="1" customWidth="1"/>
    <col min="13603" max="13613" width="10.28515625" style="410" customWidth="1"/>
    <col min="13614" max="13853" width="9.140625" style="410" customWidth="1"/>
    <col min="13854" max="13854" width="1.7109375" style="410" customWidth="1"/>
    <col min="13855" max="13855" width="19.140625" style="410" customWidth="1"/>
    <col min="13856" max="13856" width="35.140625" style="410" customWidth="1"/>
    <col min="13857" max="13857" width="9.85546875" style="410" bestFit="1" customWidth="1"/>
    <col min="13858" max="13858" width="8.85546875" style="410" bestFit="1" customWidth="1"/>
    <col min="13859" max="13869" width="10.28515625" style="410" customWidth="1"/>
    <col min="13870" max="14109" width="9.140625" style="410" customWidth="1"/>
    <col min="14110" max="14110" width="1.7109375" style="410" customWidth="1"/>
    <col min="14111" max="14111" width="19.140625" style="410" customWidth="1"/>
    <col min="14112" max="14112" width="35.140625" style="410" customWidth="1"/>
    <col min="14113" max="14113" width="9.85546875" style="410" bestFit="1" customWidth="1"/>
    <col min="14114" max="14114" width="8.85546875" style="410" bestFit="1" customWidth="1"/>
    <col min="14115" max="14125" width="10.28515625" style="410" customWidth="1"/>
    <col min="14126" max="14365" width="9.140625" style="410" customWidth="1"/>
    <col min="14366" max="14366" width="1.7109375" style="410" customWidth="1"/>
    <col min="14367" max="14367" width="19.140625" style="410" customWidth="1"/>
    <col min="14368" max="14368" width="35.140625" style="410" customWidth="1"/>
    <col min="14369" max="14369" width="9.85546875" style="410" bestFit="1" customWidth="1"/>
    <col min="14370" max="14370" width="8.85546875" style="410" bestFit="1" customWidth="1"/>
    <col min="14371" max="14381" width="10.28515625" style="410" customWidth="1"/>
    <col min="14382" max="14621" width="9.140625" style="410" customWidth="1"/>
    <col min="14622" max="14622" width="1.7109375" style="410" customWidth="1"/>
    <col min="14623" max="14623" width="19.140625" style="410" customWidth="1"/>
    <col min="14624" max="14624" width="35.140625" style="410" customWidth="1"/>
    <col min="14625" max="14625" width="9.85546875" style="410" bestFit="1" customWidth="1"/>
    <col min="14626" max="14626" width="8.85546875" style="410" bestFit="1" customWidth="1"/>
    <col min="14627" max="14637" width="10.28515625" style="410" customWidth="1"/>
    <col min="14638" max="14877" width="9.140625" style="410" customWidth="1"/>
    <col min="14878" max="14878" width="1.7109375" style="410" customWidth="1"/>
    <col min="14879" max="14879" width="19.140625" style="410" customWidth="1"/>
    <col min="14880" max="14880" width="35.140625" style="410" customWidth="1"/>
    <col min="14881" max="14881" width="9.85546875" style="410" bestFit="1" customWidth="1"/>
    <col min="14882" max="14882" width="8.85546875" style="410" bestFit="1" customWidth="1"/>
    <col min="14883" max="14893" width="10.28515625" style="410" customWidth="1"/>
    <col min="14894" max="15133" width="9.140625" style="410" customWidth="1"/>
    <col min="15134" max="15134" width="1.7109375" style="410" customWidth="1"/>
    <col min="15135" max="15135" width="19.140625" style="410" customWidth="1"/>
    <col min="15136" max="15136" width="35.140625" style="410" customWidth="1"/>
    <col min="15137" max="15137" width="9.85546875" style="410" bestFit="1" customWidth="1"/>
    <col min="15138" max="15138" width="8.85546875" style="410" bestFit="1" customWidth="1"/>
    <col min="15139" max="15149" width="10.28515625" style="410" customWidth="1"/>
    <col min="15150" max="15389" width="9.140625" style="410" customWidth="1"/>
    <col min="15390" max="15390" width="1.7109375" style="410" customWidth="1"/>
    <col min="15391" max="15391" width="19.140625" style="410" customWidth="1"/>
    <col min="15392" max="15392" width="35.140625" style="410" customWidth="1"/>
    <col min="15393" max="15393" width="9.85546875" style="410" bestFit="1" customWidth="1"/>
    <col min="15394" max="15394" width="8.85546875" style="410" bestFit="1" customWidth="1"/>
    <col min="15395" max="15405" width="10.28515625" style="410" customWidth="1"/>
    <col min="15406" max="15645" width="9.140625" style="410" customWidth="1"/>
    <col min="15646" max="15646" width="1.7109375" style="410" customWidth="1"/>
    <col min="15647" max="15647" width="19.140625" style="410" customWidth="1"/>
    <col min="15648" max="15648" width="35.140625" style="410" customWidth="1"/>
    <col min="15649" max="15649" width="9.85546875" style="410" bestFit="1" customWidth="1"/>
    <col min="15650" max="15650" width="8.85546875" style="410" bestFit="1" customWidth="1"/>
    <col min="15651" max="15661" width="10.28515625" style="410" customWidth="1"/>
    <col min="15662" max="15901" width="9.140625" style="410" customWidth="1"/>
    <col min="15902" max="15902" width="1.7109375" style="410" customWidth="1"/>
    <col min="15903" max="15903" width="19.140625" style="410" customWidth="1"/>
    <col min="15904" max="15904" width="35.140625" style="410" customWidth="1"/>
    <col min="15905" max="15905" width="9.85546875" style="410" bestFit="1" customWidth="1"/>
    <col min="15906" max="15906" width="8.85546875" style="410" bestFit="1" customWidth="1"/>
    <col min="15907" max="15917" width="10.28515625" style="410" customWidth="1"/>
    <col min="15918" max="16157" width="9.140625" style="410" customWidth="1"/>
    <col min="16158" max="16158" width="1.7109375" style="410" customWidth="1"/>
    <col min="16159" max="16159" width="19.140625" style="410" customWidth="1"/>
    <col min="16160" max="16160" width="35.140625" style="410" customWidth="1"/>
    <col min="16161" max="16161" width="9.85546875" style="410" bestFit="1" customWidth="1"/>
    <col min="16162" max="16162" width="8.85546875" style="410" bestFit="1" customWidth="1"/>
    <col min="16163" max="16173" width="10.28515625" style="410" customWidth="1"/>
    <col min="16174" max="16384" width="9.140625" style="410" customWidth="1"/>
  </cols>
  <sheetData>
    <row r="1" spans="1:46" s="385" customFormat="1" ht="36" customHeight="1" x14ac:dyDescent="0.25">
      <c r="A1" s="383"/>
      <c r="B1" s="383"/>
      <c r="C1" s="383"/>
      <c r="D1" s="796" t="s">
        <v>108</v>
      </c>
      <c r="E1" s="797"/>
      <c r="F1" s="798"/>
      <c r="G1" s="799" t="s">
        <v>444</v>
      </c>
      <c r="H1" s="800"/>
      <c r="I1" s="801"/>
      <c r="J1" s="806"/>
      <c r="K1" s="800"/>
      <c r="L1" s="801"/>
      <c r="M1" s="806"/>
      <c r="N1" s="800"/>
      <c r="O1" s="801"/>
      <c r="P1" s="806"/>
      <c r="Q1" s="800"/>
      <c r="R1" s="807"/>
      <c r="S1" s="806"/>
      <c r="T1" s="800"/>
      <c r="U1" s="807"/>
      <c r="V1" s="806"/>
      <c r="W1" s="800"/>
      <c r="X1" s="807"/>
      <c r="Y1" s="806"/>
      <c r="Z1" s="800"/>
      <c r="AA1" s="807"/>
      <c r="AB1" s="806"/>
      <c r="AC1" s="800"/>
      <c r="AD1" s="807"/>
      <c r="AE1" s="806"/>
      <c r="AF1" s="800"/>
      <c r="AG1" s="807"/>
      <c r="AH1" s="806"/>
      <c r="AI1" s="800"/>
      <c r="AJ1" s="807"/>
      <c r="AK1" s="806"/>
      <c r="AL1" s="800"/>
      <c r="AM1" s="807"/>
      <c r="AN1" s="806"/>
      <c r="AO1" s="800"/>
      <c r="AP1" s="807"/>
      <c r="AQ1" s="806"/>
      <c r="AR1" s="800"/>
      <c r="AS1" s="807"/>
      <c r="AT1" s="384"/>
    </row>
    <row r="2" spans="1:46" s="385" customFormat="1" ht="51.6" customHeight="1" x14ac:dyDescent="0.25">
      <c r="A2" s="383" t="s">
        <v>358</v>
      </c>
      <c r="B2" s="383"/>
      <c r="C2" s="383"/>
      <c r="D2" s="644"/>
      <c r="E2" s="642"/>
      <c r="F2" s="643"/>
      <c r="G2" s="799"/>
      <c r="H2" s="800"/>
      <c r="I2" s="801"/>
      <c r="J2" s="806" t="s">
        <v>445</v>
      </c>
      <c r="K2" s="800"/>
      <c r="L2" s="801"/>
      <c r="M2" s="806" t="s">
        <v>446</v>
      </c>
      <c r="N2" s="800"/>
      <c r="O2" s="801"/>
      <c r="P2" s="806" t="s">
        <v>452</v>
      </c>
      <c r="Q2" s="800"/>
      <c r="R2" s="807"/>
      <c r="S2" s="806" t="s">
        <v>453</v>
      </c>
      <c r="T2" s="800"/>
      <c r="U2" s="807"/>
      <c r="V2" s="806" t="s">
        <v>454</v>
      </c>
      <c r="W2" s="800"/>
      <c r="X2" s="807"/>
      <c r="Y2" s="806" t="s">
        <v>455</v>
      </c>
      <c r="Z2" s="800"/>
      <c r="AA2" s="807"/>
      <c r="AB2" s="806" t="s">
        <v>456</v>
      </c>
      <c r="AC2" s="800"/>
      <c r="AD2" s="807"/>
      <c r="AE2" s="806" t="s">
        <v>457</v>
      </c>
      <c r="AF2" s="800"/>
      <c r="AG2" s="807"/>
      <c r="AH2" s="806" t="s">
        <v>458</v>
      </c>
      <c r="AI2" s="800"/>
      <c r="AJ2" s="807"/>
      <c r="AK2" s="806" t="s">
        <v>459</v>
      </c>
      <c r="AL2" s="800"/>
      <c r="AM2" s="807"/>
      <c r="AN2" s="806" t="s">
        <v>460</v>
      </c>
      <c r="AO2" s="800"/>
      <c r="AP2" s="807"/>
      <c r="AQ2" s="806" t="s">
        <v>461</v>
      </c>
      <c r="AR2" s="800"/>
      <c r="AS2" s="807"/>
      <c r="AT2" s="384"/>
    </row>
    <row r="3" spans="1:46" s="385" customFormat="1" ht="36" customHeight="1" x14ac:dyDescent="0.25">
      <c r="A3" s="383" t="s">
        <v>224</v>
      </c>
      <c r="B3" s="383"/>
      <c r="C3" s="383"/>
      <c r="D3" s="386"/>
      <c r="E3" s="387"/>
      <c r="F3" s="388"/>
      <c r="G3" s="802"/>
      <c r="H3" s="803"/>
      <c r="I3" s="804"/>
      <c r="J3" s="805"/>
      <c r="K3" s="803"/>
      <c r="L3" s="804"/>
      <c r="M3" s="805"/>
      <c r="N3" s="803"/>
      <c r="O3" s="804"/>
      <c r="P3" s="805"/>
      <c r="Q3" s="803"/>
      <c r="R3" s="812"/>
      <c r="S3" s="805"/>
      <c r="T3" s="803"/>
      <c r="U3" s="812"/>
      <c r="V3" s="805"/>
      <c r="W3" s="803"/>
      <c r="X3" s="812"/>
      <c r="Y3" s="805"/>
      <c r="Z3" s="803"/>
      <c r="AA3" s="812"/>
      <c r="AB3" s="805"/>
      <c r="AC3" s="803"/>
      <c r="AD3" s="812"/>
      <c r="AE3" s="805"/>
      <c r="AF3" s="803"/>
      <c r="AG3" s="812"/>
      <c r="AH3" s="805"/>
      <c r="AI3" s="803"/>
      <c r="AJ3" s="812"/>
      <c r="AK3" s="805"/>
      <c r="AL3" s="803"/>
      <c r="AM3" s="812"/>
      <c r="AN3" s="805"/>
      <c r="AO3" s="803"/>
      <c r="AP3" s="812"/>
      <c r="AQ3" s="805"/>
      <c r="AR3" s="803"/>
      <c r="AS3" s="812"/>
      <c r="AT3" s="384"/>
    </row>
    <row r="4" spans="1:46" s="385" customFormat="1" ht="36" customHeight="1" x14ac:dyDescent="0.25">
      <c r="A4" s="383" t="s">
        <v>225</v>
      </c>
      <c r="B4" s="383"/>
      <c r="C4" s="383"/>
      <c r="D4" s="386"/>
      <c r="E4" s="387"/>
      <c r="F4" s="388"/>
      <c r="G4" s="802"/>
      <c r="H4" s="803"/>
      <c r="I4" s="804"/>
      <c r="J4" s="805"/>
      <c r="K4" s="803"/>
      <c r="L4" s="804"/>
      <c r="M4" s="805"/>
      <c r="N4" s="803"/>
      <c r="O4" s="804"/>
      <c r="P4" s="805"/>
      <c r="Q4" s="803"/>
      <c r="R4" s="812"/>
      <c r="S4" s="805"/>
      <c r="T4" s="803"/>
      <c r="U4" s="812"/>
      <c r="V4" s="805"/>
      <c r="W4" s="803"/>
      <c r="X4" s="812"/>
      <c r="Y4" s="805"/>
      <c r="Z4" s="803"/>
      <c r="AA4" s="812"/>
      <c r="AB4" s="805"/>
      <c r="AC4" s="803"/>
      <c r="AD4" s="812"/>
      <c r="AE4" s="805"/>
      <c r="AF4" s="803"/>
      <c r="AG4" s="812"/>
      <c r="AH4" s="805"/>
      <c r="AI4" s="803"/>
      <c r="AJ4" s="812"/>
      <c r="AK4" s="805"/>
      <c r="AL4" s="803"/>
      <c r="AM4" s="812"/>
      <c r="AN4" s="805"/>
      <c r="AO4" s="803"/>
      <c r="AP4" s="812"/>
      <c r="AQ4" s="805"/>
      <c r="AR4" s="803"/>
      <c r="AS4" s="812"/>
      <c r="AT4" s="384"/>
    </row>
    <row r="5" spans="1:46" s="399" customFormat="1" ht="15.75" customHeight="1" thickBot="1" x14ac:dyDescent="0.3">
      <c r="A5" s="389" t="s">
        <v>40</v>
      </c>
      <c r="B5" s="389" t="s">
        <v>10</v>
      </c>
      <c r="C5" s="390" t="s">
        <v>23</v>
      </c>
      <c r="D5" s="391" t="s">
        <v>227</v>
      </c>
      <c r="E5" s="392" t="s">
        <v>170</v>
      </c>
      <c r="F5" s="393" t="s">
        <v>163</v>
      </c>
      <c r="G5" s="394" t="s">
        <v>227</v>
      </c>
      <c r="H5" s="394" t="s">
        <v>170</v>
      </c>
      <c r="I5" s="395" t="s">
        <v>163</v>
      </c>
      <c r="J5" s="396" t="s">
        <v>227</v>
      </c>
      <c r="K5" s="394" t="s">
        <v>170</v>
      </c>
      <c r="L5" s="395" t="s">
        <v>163</v>
      </c>
      <c r="M5" s="396" t="s">
        <v>227</v>
      </c>
      <c r="N5" s="394" t="s">
        <v>170</v>
      </c>
      <c r="O5" s="395" t="s">
        <v>163</v>
      </c>
      <c r="P5" s="396" t="s">
        <v>227</v>
      </c>
      <c r="Q5" s="394" t="s">
        <v>170</v>
      </c>
      <c r="R5" s="397" t="s">
        <v>163</v>
      </c>
      <c r="S5" s="396" t="s">
        <v>227</v>
      </c>
      <c r="T5" s="394" t="s">
        <v>170</v>
      </c>
      <c r="U5" s="397" t="s">
        <v>163</v>
      </c>
      <c r="V5" s="396" t="s">
        <v>227</v>
      </c>
      <c r="W5" s="394" t="s">
        <v>170</v>
      </c>
      <c r="X5" s="397" t="s">
        <v>163</v>
      </c>
      <c r="Y5" s="396" t="s">
        <v>227</v>
      </c>
      <c r="Z5" s="394" t="s">
        <v>170</v>
      </c>
      <c r="AA5" s="397" t="s">
        <v>163</v>
      </c>
      <c r="AB5" s="396" t="s">
        <v>227</v>
      </c>
      <c r="AC5" s="394" t="s">
        <v>170</v>
      </c>
      <c r="AD5" s="397" t="s">
        <v>163</v>
      </c>
      <c r="AE5" s="396" t="s">
        <v>227</v>
      </c>
      <c r="AF5" s="394" t="s">
        <v>170</v>
      </c>
      <c r="AG5" s="397" t="s">
        <v>163</v>
      </c>
      <c r="AH5" s="396" t="s">
        <v>227</v>
      </c>
      <c r="AI5" s="394" t="s">
        <v>170</v>
      </c>
      <c r="AJ5" s="397" t="s">
        <v>163</v>
      </c>
      <c r="AK5" s="396" t="s">
        <v>227</v>
      </c>
      <c r="AL5" s="394" t="s">
        <v>170</v>
      </c>
      <c r="AM5" s="397" t="s">
        <v>163</v>
      </c>
      <c r="AN5" s="396" t="s">
        <v>227</v>
      </c>
      <c r="AO5" s="394" t="s">
        <v>170</v>
      </c>
      <c r="AP5" s="397" t="s">
        <v>163</v>
      </c>
      <c r="AQ5" s="396" t="s">
        <v>227</v>
      </c>
      <c r="AR5" s="394" t="s">
        <v>170</v>
      </c>
      <c r="AS5" s="397" t="s">
        <v>163</v>
      </c>
      <c r="AT5" s="398"/>
    </row>
    <row r="6" spans="1:46" s="707" customFormat="1" ht="14.45" customHeight="1" x14ac:dyDescent="0.25">
      <c r="A6" s="794" t="s">
        <v>441</v>
      </c>
      <c r="B6" s="795" t="s">
        <v>13</v>
      </c>
      <c r="C6" s="400" t="s">
        <v>25</v>
      </c>
      <c r="D6" s="401">
        <f t="shared" ref="D6:D15" si="0">G6+J6+M6+AQ6</f>
        <v>0</v>
      </c>
      <c r="E6" s="402">
        <f>H6+K6+N6+AR6</f>
        <v>0</v>
      </c>
      <c r="F6" s="403">
        <f t="shared" ref="F6:F15" si="1">I6+L6+O6+AS6</f>
        <v>0</v>
      </c>
      <c r="G6" s="404"/>
      <c r="H6" s="405"/>
      <c r="I6" s="406">
        <f>H6-G6</f>
        <v>0</v>
      </c>
      <c r="J6" s="405"/>
      <c r="K6" s="405"/>
      <c r="L6" s="406">
        <f t="shared" ref="L6:L15" si="2">K6-J6</f>
        <v>0</v>
      </c>
      <c r="M6" s="405"/>
      <c r="N6" s="405"/>
      <c r="O6" s="406">
        <f t="shared" ref="O6:O15" si="3">N6-M6</f>
        <v>0</v>
      </c>
      <c r="P6" s="405"/>
      <c r="Q6" s="407"/>
      <c r="R6" s="408">
        <f t="shared" ref="R6:R15" si="4">Q6-P6</f>
        <v>0</v>
      </c>
      <c r="S6" s="405"/>
      <c r="T6" s="407"/>
      <c r="U6" s="408">
        <f t="shared" ref="U6:U15" si="5">T6-S6</f>
        <v>0</v>
      </c>
      <c r="V6" s="405"/>
      <c r="W6" s="407"/>
      <c r="X6" s="408">
        <f t="shared" ref="X6:X15" si="6">W6-V6</f>
        <v>0</v>
      </c>
      <c r="Y6" s="405"/>
      <c r="Z6" s="407"/>
      <c r="AA6" s="408">
        <f t="shared" ref="AA6:AA15" si="7">Z6-Y6</f>
        <v>0</v>
      </c>
      <c r="AB6" s="405"/>
      <c r="AC6" s="407"/>
      <c r="AD6" s="408">
        <f t="shared" ref="AD6:AD15" si="8">AC6-AB6</f>
        <v>0</v>
      </c>
      <c r="AE6" s="405"/>
      <c r="AF6" s="407"/>
      <c r="AG6" s="408">
        <f t="shared" ref="AG6:AG15" si="9">AF6-AE6</f>
        <v>0</v>
      </c>
      <c r="AH6" s="405"/>
      <c r="AI6" s="407"/>
      <c r="AJ6" s="408">
        <f t="shared" ref="AJ6:AJ15" si="10">AI6-AH6</f>
        <v>0</v>
      </c>
      <c r="AK6" s="405"/>
      <c r="AL6" s="407"/>
      <c r="AM6" s="408">
        <f t="shared" ref="AM6:AM15" si="11">AL6-AK6</f>
        <v>0</v>
      </c>
      <c r="AN6" s="405"/>
      <c r="AO6" s="407"/>
      <c r="AP6" s="408">
        <f t="shared" ref="AP6:AP15" si="12">AO6-AN6</f>
        <v>0</v>
      </c>
      <c r="AQ6" s="405"/>
      <c r="AR6" s="407"/>
      <c r="AS6" s="408">
        <f t="shared" ref="AS6:AS15" si="13">AR6-AQ6</f>
        <v>0</v>
      </c>
      <c r="AT6" s="409">
        <v>0</v>
      </c>
    </row>
    <row r="7" spans="1:46" s="707" customFormat="1" x14ac:dyDescent="0.25">
      <c r="A7" s="790"/>
      <c r="B7" s="792"/>
      <c r="C7" s="411" t="s">
        <v>26</v>
      </c>
      <c r="D7" s="412">
        <f t="shared" si="0"/>
        <v>0</v>
      </c>
      <c r="E7" s="413">
        <f>H7+K7+N7+AR7</f>
        <v>0</v>
      </c>
      <c r="F7" s="414">
        <f t="shared" si="1"/>
        <v>0</v>
      </c>
      <c r="G7" s="415"/>
      <c r="H7" s="416"/>
      <c r="I7" s="417">
        <f>H7-G7</f>
        <v>0</v>
      </c>
      <c r="J7" s="416"/>
      <c r="K7" s="416"/>
      <c r="L7" s="417">
        <f t="shared" si="2"/>
        <v>0</v>
      </c>
      <c r="M7" s="416"/>
      <c r="N7" s="416"/>
      <c r="O7" s="417">
        <f t="shared" si="3"/>
        <v>0</v>
      </c>
      <c r="P7" s="416"/>
      <c r="Q7" s="418"/>
      <c r="R7" s="419">
        <f t="shared" si="4"/>
        <v>0</v>
      </c>
      <c r="S7" s="416"/>
      <c r="T7" s="418"/>
      <c r="U7" s="419">
        <f t="shared" si="5"/>
        <v>0</v>
      </c>
      <c r="V7" s="416"/>
      <c r="W7" s="418"/>
      <c r="X7" s="419">
        <f t="shared" si="6"/>
        <v>0</v>
      </c>
      <c r="Y7" s="416"/>
      <c r="Z7" s="418"/>
      <c r="AA7" s="419">
        <f t="shared" si="7"/>
        <v>0</v>
      </c>
      <c r="AB7" s="416"/>
      <c r="AC7" s="418"/>
      <c r="AD7" s="419">
        <f t="shared" si="8"/>
        <v>0</v>
      </c>
      <c r="AE7" s="416"/>
      <c r="AF7" s="418"/>
      <c r="AG7" s="419">
        <f t="shared" si="9"/>
        <v>0</v>
      </c>
      <c r="AH7" s="416"/>
      <c r="AI7" s="418"/>
      <c r="AJ7" s="419">
        <f t="shared" si="10"/>
        <v>0</v>
      </c>
      <c r="AK7" s="416"/>
      <c r="AL7" s="418"/>
      <c r="AM7" s="419">
        <f t="shared" si="11"/>
        <v>0</v>
      </c>
      <c r="AN7" s="416"/>
      <c r="AO7" s="418"/>
      <c r="AP7" s="419">
        <f t="shared" si="12"/>
        <v>0</v>
      </c>
      <c r="AQ7" s="416"/>
      <c r="AR7" s="418"/>
      <c r="AS7" s="419">
        <f t="shared" si="13"/>
        <v>0</v>
      </c>
      <c r="AT7" s="409"/>
    </row>
    <row r="8" spans="1:46" s="707" customFormat="1" x14ac:dyDescent="0.25">
      <c r="A8" s="790"/>
      <c r="B8" s="792"/>
      <c r="C8" s="411" t="s">
        <v>27</v>
      </c>
      <c r="D8" s="412">
        <f t="shared" si="0"/>
        <v>5776724</v>
      </c>
      <c r="E8" s="413">
        <f>H8+K8+N8+AR8</f>
        <v>4332542.9950000001</v>
      </c>
      <c r="F8" s="414">
        <f t="shared" si="1"/>
        <v>-1444181.0049999999</v>
      </c>
      <c r="G8" s="415">
        <f>11553448/2</f>
        <v>5776724</v>
      </c>
      <c r="H8" s="416">
        <f>8665085.99/2</f>
        <v>4332542.9950000001</v>
      </c>
      <c r="I8" s="417">
        <f>H8-G8</f>
        <v>-1444181.0049999999</v>
      </c>
      <c r="J8" s="416"/>
      <c r="K8" s="416"/>
      <c r="L8" s="417">
        <f t="shared" si="2"/>
        <v>0</v>
      </c>
      <c r="M8" s="416"/>
      <c r="N8" s="416"/>
      <c r="O8" s="417">
        <f t="shared" si="3"/>
        <v>0</v>
      </c>
      <c r="P8" s="416"/>
      <c r="Q8" s="418"/>
      <c r="R8" s="419">
        <f t="shared" si="4"/>
        <v>0</v>
      </c>
      <c r="S8" s="416"/>
      <c r="T8" s="418"/>
      <c r="U8" s="419">
        <f t="shared" si="5"/>
        <v>0</v>
      </c>
      <c r="V8" s="416"/>
      <c r="W8" s="418"/>
      <c r="X8" s="419">
        <f t="shared" si="6"/>
        <v>0</v>
      </c>
      <c r="Y8" s="416"/>
      <c r="Z8" s="418"/>
      <c r="AA8" s="419">
        <f t="shared" si="7"/>
        <v>0</v>
      </c>
      <c r="AB8" s="416"/>
      <c r="AC8" s="418"/>
      <c r="AD8" s="419">
        <f t="shared" si="8"/>
        <v>0</v>
      </c>
      <c r="AE8" s="416"/>
      <c r="AF8" s="418"/>
      <c r="AG8" s="419">
        <f t="shared" si="9"/>
        <v>0</v>
      </c>
      <c r="AH8" s="416"/>
      <c r="AI8" s="418"/>
      <c r="AJ8" s="419">
        <f t="shared" si="10"/>
        <v>0</v>
      </c>
      <c r="AK8" s="416"/>
      <c r="AL8" s="418"/>
      <c r="AM8" s="419">
        <f t="shared" si="11"/>
        <v>0</v>
      </c>
      <c r="AN8" s="416"/>
      <c r="AO8" s="418"/>
      <c r="AP8" s="419">
        <f t="shared" si="12"/>
        <v>0</v>
      </c>
      <c r="AQ8" s="416"/>
      <c r="AR8" s="418"/>
      <c r="AS8" s="419">
        <f t="shared" si="13"/>
        <v>0</v>
      </c>
      <c r="AT8" s="409"/>
    </row>
    <row r="9" spans="1:46" s="707" customFormat="1" x14ac:dyDescent="0.25">
      <c r="A9" s="790"/>
      <c r="B9" s="792"/>
      <c r="C9" s="411" t="s">
        <v>28</v>
      </c>
      <c r="D9" s="412">
        <f t="shared" si="0"/>
        <v>11553448</v>
      </c>
      <c r="E9" s="413">
        <f>H9+K9+N9+AR9</f>
        <v>8665085.9900000002</v>
      </c>
      <c r="F9" s="414">
        <f t="shared" si="1"/>
        <v>-2888362.01</v>
      </c>
      <c r="G9" s="415">
        <v>11553448</v>
      </c>
      <c r="H9" s="416">
        <v>8665085.9900000002</v>
      </c>
      <c r="I9" s="417">
        <f>H9-G9</f>
        <v>-2888362.01</v>
      </c>
      <c r="J9" s="416">
        <v>0</v>
      </c>
      <c r="K9" s="416">
        <v>0</v>
      </c>
      <c r="L9" s="417">
        <f t="shared" si="2"/>
        <v>0</v>
      </c>
      <c r="M9" s="416">
        <v>0</v>
      </c>
      <c r="N9" s="416">
        <v>0</v>
      </c>
      <c r="O9" s="417">
        <f t="shared" si="3"/>
        <v>0</v>
      </c>
      <c r="P9" s="416">
        <v>0</v>
      </c>
      <c r="Q9" s="418">
        <v>0</v>
      </c>
      <c r="R9" s="419">
        <f t="shared" si="4"/>
        <v>0</v>
      </c>
      <c r="S9" s="416">
        <v>0</v>
      </c>
      <c r="T9" s="418">
        <v>0</v>
      </c>
      <c r="U9" s="419">
        <f t="shared" si="5"/>
        <v>0</v>
      </c>
      <c r="V9" s="416">
        <v>0</v>
      </c>
      <c r="W9" s="418">
        <v>0</v>
      </c>
      <c r="X9" s="419">
        <f t="shared" si="6"/>
        <v>0</v>
      </c>
      <c r="Y9" s="416">
        <v>0</v>
      </c>
      <c r="Z9" s="418">
        <v>0</v>
      </c>
      <c r="AA9" s="419">
        <f t="shared" si="7"/>
        <v>0</v>
      </c>
      <c r="AB9" s="416">
        <v>0</v>
      </c>
      <c r="AC9" s="418">
        <v>0</v>
      </c>
      <c r="AD9" s="419">
        <f t="shared" si="8"/>
        <v>0</v>
      </c>
      <c r="AE9" s="416">
        <v>0</v>
      </c>
      <c r="AF9" s="418">
        <v>0</v>
      </c>
      <c r="AG9" s="419">
        <f t="shared" si="9"/>
        <v>0</v>
      </c>
      <c r="AH9" s="416">
        <v>0</v>
      </c>
      <c r="AI9" s="418">
        <v>0</v>
      </c>
      <c r="AJ9" s="419">
        <f t="shared" si="10"/>
        <v>0</v>
      </c>
      <c r="AK9" s="416">
        <v>0</v>
      </c>
      <c r="AL9" s="418">
        <v>0</v>
      </c>
      <c r="AM9" s="419">
        <f t="shared" si="11"/>
        <v>0</v>
      </c>
      <c r="AN9" s="416">
        <v>0</v>
      </c>
      <c r="AO9" s="418">
        <v>0</v>
      </c>
      <c r="AP9" s="419">
        <f t="shared" si="12"/>
        <v>0</v>
      </c>
      <c r="AQ9" s="416">
        <v>0</v>
      </c>
      <c r="AR9" s="418">
        <v>0</v>
      </c>
      <c r="AS9" s="419">
        <f t="shared" si="13"/>
        <v>0</v>
      </c>
      <c r="AT9" s="409"/>
    </row>
    <row r="10" spans="1:46" s="707" customFormat="1" x14ac:dyDescent="0.25">
      <c r="A10" s="790"/>
      <c r="B10" s="792"/>
      <c r="C10" s="411" t="s">
        <v>29</v>
      </c>
      <c r="D10" s="412">
        <f t="shared" si="0"/>
        <v>11553448</v>
      </c>
      <c r="E10" s="413">
        <f t="shared" ref="E10:E15" si="14">H10+K10+N10+AR10</f>
        <v>8665085.9900000002</v>
      </c>
      <c r="F10" s="414">
        <f t="shared" si="1"/>
        <v>-2888362.01</v>
      </c>
      <c r="G10" s="415">
        <v>11553448</v>
      </c>
      <c r="H10" s="416">
        <v>8665085.9900000002</v>
      </c>
      <c r="I10" s="417">
        <f t="shared" ref="I10:I15" si="15">H10-G10</f>
        <v>-2888362.01</v>
      </c>
      <c r="J10" s="416">
        <v>0</v>
      </c>
      <c r="K10" s="416">
        <v>0</v>
      </c>
      <c r="L10" s="417">
        <f t="shared" si="2"/>
        <v>0</v>
      </c>
      <c r="M10" s="416">
        <v>0</v>
      </c>
      <c r="N10" s="416">
        <v>0</v>
      </c>
      <c r="O10" s="417">
        <f t="shared" si="3"/>
        <v>0</v>
      </c>
      <c r="P10" s="416">
        <v>0</v>
      </c>
      <c r="Q10" s="418">
        <v>0</v>
      </c>
      <c r="R10" s="419">
        <f t="shared" si="4"/>
        <v>0</v>
      </c>
      <c r="S10" s="416">
        <v>0</v>
      </c>
      <c r="T10" s="418">
        <v>0</v>
      </c>
      <c r="U10" s="419">
        <f t="shared" si="5"/>
        <v>0</v>
      </c>
      <c r="V10" s="416">
        <v>0</v>
      </c>
      <c r="W10" s="418">
        <v>0</v>
      </c>
      <c r="X10" s="419">
        <f t="shared" si="6"/>
        <v>0</v>
      </c>
      <c r="Y10" s="416">
        <v>0</v>
      </c>
      <c r="Z10" s="418">
        <v>0</v>
      </c>
      <c r="AA10" s="419">
        <f t="shared" si="7"/>
        <v>0</v>
      </c>
      <c r="AB10" s="416">
        <v>0</v>
      </c>
      <c r="AC10" s="418">
        <v>0</v>
      </c>
      <c r="AD10" s="419">
        <f t="shared" si="8"/>
        <v>0</v>
      </c>
      <c r="AE10" s="416">
        <v>0</v>
      </c>
      <c r="AF10" s="418">
        <v>0</v>
      </c>
      <c r="AG10" s="419">
        <f t="shared" si="9"/>
        <v>0</v>
      </c>
      <c r="AH10" s="416">
        <v>0</v>
      </c>
      <c r="AI10" s="418">
        <v>0</v>
      </c>
      <c r="AJ10" s="419">
        <f t="shared" si="10"/>
        <v>0</v>
      </c>
      <c r="AK10" s="416">
        <v>0</v>
      </c>
      <c r="AL10" s="418">
        <v>0</v>
      </c>
      <c r="AM10" s="419">
        <f t="shared" si="11"/>
        <v>0</v>
      </c>
      <c r="AN10" s="416">
        <v>0</v>
      </c>
      <c r="AO10" s="418">
        <v>0</v>
      </c>
      <c r="AP10" s="419">
        <f t="shared" si="12"/>
        <v>0</v>
      </c>
      <c r="AQ10" s="416">
        <v>0</v>
      </c>
      <c r="AR10" s="418">
        <v>0</v>
      </c>
      <c r="AS10" s="419">
        <f t="shared" si="13"/>
        <v>0</v>
      </c>
      <c r="AT10" s="409"/>
    </row>
    <row r="11" spans="1:46" s="707" customFormat="1" x14ac:dyDescent="0.25">
      <c r="A11" s="790"/>
      <c r="B11" s="792"/>
      <c r="C11" s="411" t="s">
        <v>30</v>
      </c>
      <c r="D11" s="412">
        <f t="shared" si="0"/>
        <v>11553448</v>
      </c>
      <c r="E11" s="413">
        <f t="shared" si="14"/>
        <v>8665085.9900000002</v>
      </c>
      <c r="F11" s="414">
        <f t="shared" si="1"/>
        <v>-2888362.01</v>
      </c>
      <c r="G11" s="415">
        <v>11553448</v>
      </c>
      <c r="H11" s="416">
        <v>8665085.9900000002</v>
      </c>
      <c r="I11" s="417">
        <f t="shared" si="15"/>
        <v>-2888362.01</v>
      </c>
      <c r="J11" s="416">
        <v>0</v>
      </c>
      <c r="K11" s="416">
        <v>0</v>
      </c>
      <c r="L11" s="417">
        <f t="shared" si="2"/>
        <v>0</v>
      </c>
      <c r="M11" s="416">
        <v>0</v>
      </c>
      <c r="N11" s="416">
        <v>0</v>
      </c>
      <c r="O11" s="417">
        <f t="shared" si="3"/>
        <v>0</v>
      </c>
      <c r="P11" s="416">
        <v>0</v>
      </c>
      <c r="Q11" s="418">
        <v>0</v>
      </c>
      <c r="R11" s="419">
        <f t="shared" si="4"/>
        <v>0</v>
      </c>
      <c r="S11" s="416">
        <v>0</v>
      </c>
      <c r="T11" s="418">
        <v>0</v>
      </c>
      <c r="U11" s="419">
        <f t="shared" si="5"/>
        <v>0</v>
      </c>
      <c r="V11" s="416">
        <v>0</v>
      </c>
      <c r="W11" s="418">
        <v>0</v>
      </c>
      <c r="X11" s="419">
        <f t="shared" si="6"/>
        <v>0</v>
      </c>
      <c r="Y11" s="416">
        <v>0</v>
      </c>
      <c r="Z11" s="418">
        <v>0</v>
      </c>
      <c r="AA11" s="419">
        <f t="shared" si="7"/>
        <v>0</v>
      </c>
      <c r="AB11" s="416">
        <v>0</v>
      </c>
      <c r="AC11" s="418">
        <v>0</v>
      </c>
      <c r="AD11" s="419">
        <f t="shared" si="8"/>
        <v>0</v>
      </c>
      <c r="AE11" s="416">
        <v>0</v>
      </c>
      <c r="AF11" s="418">
        <v>0</v>
      </c>
      <c r="AG11" s="419">
        <f t="shared" si="9"/>
        <v>0</v>
      </c>
      <c r="AH11" s="416">
        <v>0</v>
      </c>
      <c r="AI11" s="418">
        <v>0</v>
      </c>
      <c r="AJ11" s="419">
        <f t="shared" si="10"/>
        <v>0</v>
      </c>
      <c r="AK11" s="416">
        <v>0</v>
      </c>
      <c r="AL11" s="418">
        <v>0</v>
      </c>
      <c r="AM11" s="419">
        <f t="shared" si="11"/>
        <v>0</v>
      </c>
      <c r="AN11" s="416">
        <v>0</v>
      </c>
      <c r="AO11" s="418">
        <v>0</v>
      </c>
      <c r="AP11" s="419">
        <f t="shared" si="12"/>
        <v>0</v>
      </c>
      <c r="AQ11" s="416">
        <v>0</v>
      </c>
      <c r="AR11" s="418">
        <v>0</v>
      </c>
      <c r="AS11" s="419">
        <f t="shared" si="13"/>
        <v>0</v>
      </c>
      <c r="AT11" s="409"/>
    </row>
    <row r="12" spans="1:46" s="707" customFormat="1" x14ac:dyDescent="0.25">
      <c r="A12" s="790"/>
      <c r="B12" s="792"/>
      <c r="C12" s="411" t="s">
        <v>31</v>
      </c>
      <c r="D12" s="412">
        <f t="shared" si="0"/>
        <v>11553448</v>
      </c>
      <c r="E12" s="413">
        <f t="shared" si="14"/>
        <v>8665085.9900000002</v>
      </c>
      <c r="F12" s="414">
        <f t="shared" si="1"/>
        <v>-2888362.01</v>
      </c>
      <c r="G12" s="415">
        <v>11553448</v>
      </c>
      <c r="H12" s="416">
        <v>8665085.9900000002</v>
      </c>
      <c r="I12" s="417">
        <f t="shared" si="15"/>
        <v>-2888362.01</v>
      </c>
      <c r="J12" s="416">
        <v>0</v>
      </c>
      <c r="K12" s="416">
        <v>0</v>
      </c>
      <c r="L12" s="417">
        <f t="shared" si="2"/>
        <v>0</v>
      </c>
      <c r="M12" s="416">
        <v>0</v>
      </c>
      <c r="N12" s="416">
        <v>0</v>
      </c>
      <c r="O12" s="417">
        <f t="shared" si="3"/>
        <v>0</v>
      </c>
      <c r="P12" s="416">
        <v>0</v>
      </c>
      <c r="Q12" s="418">
        <v>0</v>
      </c>
      <c r="R12" s="419">
        <f t="shared" si="4"/>
        <v>0</v>
      </c>
      <c r="S12" s="416">
        <v>0</v>
      </c>
      <c r="T12" s="418">
        <v>0</v>
      </c>
      <c r="U12" s="419">
        <f t="shared" si="5"/>
        <v>0</v>
      </c>
      <c r="V12" s="416">
        <v>0</v>
      </c>
      <c r="W12" s="418">
        <v>0</v>
      </c>
      <c r="X12" s="419">
        <f t="shared" si="6"/>
        <v>0</v>
      </c>
      <c r="Y12" s="416">
        <v>0</v>
      </c>
      <c r="Z12" s="418">
        <v>0</v>
      </c>
      <c r="AA12" s="419">
        <f t="shared" si="7"/>
        <v>0</v>
      </c>
      <c r="AB12" s="416">
        <v>0</v>
      </c>
      <c r="AC12" s="418">
        <v>0</v>
      </c>
      <c r="AD12" s="419">
        <f t="shared" si="8"/>
        <v>0</v>
      </c>
      <c r="AE12" s="416">
        <v>0</v>
      </c>
      <c r="AF12" s="418">
        <v>0</v>
      </c>
      <c r="AG12" s="419">
        <f t="shared" si="9"/>
        <v>0</v>
      </c>
      <c r="AH12" s="416">
        <v>0</v>
      </c>
      <c r="AI12" s="418">
        <v>0</v>
      </c>
      <c r="AJ12" s="419">
        <f t="shared" si="10"/>
        <v>0</v>
      </c>
      <c r="AK12" s="416">
        <v>0</v>
      </c>
      <c r="AL12" s="418">
        <v>0</v>
      </c>
      <c r="AM12" s="419">
        <f t="shared" si="11"/>
        <v>0</v>
      </c>
      <c r="AN12" s="416">
        <v>0</v>
      </c>
      <c r="AO12" s="418">
        <v>0</v>
      </c>
      <c r="AP12" s="419">
        <f t="shared" si="12"/>
        <v>0</v>
      </c>
      <c r="AQ12" s="416">
        <v>0</v>
      </c>
      <c r="AR12" s="418">
        <v>0</v>
      </c>
      <c r="AS12" s="419">
        <f t="shared" si="13"/>
        <v>0</v>
      </c>
      <c r="AT12" s="409"/>
    </row>
    <row r="13" spans="1:46" s="707" customFormat="1" x14ac:dyDescent="0.25">
      <c r="A13" s="790"/>
      <c r="B13" s="792"/>
      <c r="C13" s="411" t="s">
        <v>32</v>
      </c>
      <c r="D13" s="412">
        <f t="shared" si="0"/>
        <v>11553448</v>
      </c>
      <c r="E13" s="413">
        <f t="shared" si="14"/>
        <v>8665085.9900000002</v>
      </c>
      <c r="F13" s="414">
        <f t="shared" si="1"/>
        <v>-2888362.01</v>
      </c>
      <c r="G13" s="415">
        <v>11553448</v>
      </c>
      <c r="H13" s="416">
        <v>8665085.9900000002</v>
      </c>
      <c r="I13" s="417">
        <f t="shared" si="15"/>
        <v>-2888362.01</v>
      </c>
      <c r="J13" s="416">
        <v>0</v>
      </c>
      <c r="K13" s="416">
        <v>0</v>
      </c>
      <c r="L13" s="417">
        <f t="shared" si="2"/>
        <v>0</v>
      </c>
      <c r="M13" s="416">
        <v>0</v>
      </c>
      <c r="N13" s="416">
        <v>0</v>
      </c>
      <c r="O13" s="417">
        <f t="shared" si="3"/>
        <v>0</v>
      </c>
      <c r="P13" s="416">
        <v>0</v>
      </c>
      <c r="Q13" s="418">
        <v>0</v>
      </c>
      <c r="R13" s="419">
        <f t="shared" si="4"/>
        <v>0</v>
      </c>
      <c r="S13" s="416">
        <v>0</v>
      </c>
      <c r="T13" s="418">
        <v>0</v>
      </c>
      <c r="U13" s="419">
        <f t="shared" si="5"/>
        <v>0</v>
      </c>
      <c r="V13" s="416">
        <v>0</v>
      </c>
      <c r="W13" s="418">
        <v>0</v>
      </c>
      <c r="X13" s="419">
        <f t="shared" si="6"/>
        <v>0</v>
      </c>
      <c r="Y13" s="416">
        <v>0</v>
      </c>
      <c r="Z13" s="418">
        <v>0</v>
      </c>
      <c r="AA13" s="419">
        <f t="shared" si="7"/>
        <v>0</v>
      </c>
      <c r="AB13" s="416">
        <v>0</v>
      </c>
      <c r="AC13" s="418">
        <v>0</v>
      </c>
      <c r="AD13" s="419">
        <f t="shared" si="8"/>
        <v>0</v>
      </c>
      <c r="AE13" s="416">
        <v>0</v>
      </c>
      <c r="AF13" s="418">
        <v>0</v>
      </c>
      <c r="AG13" s="419">
        <f t="shared" si="9"/>
        <v>0</v>
      </c>
      <c r="AH13" s="416">
        <v>0</v>
      </c>
      <c r="AI13" s="418">
        <v>0</v>
      </c>
      <c r="AJ13" s="419">
        <f t="shared" si="10"/>
        <v>0</v>
      </c>
      <c r="AK13" s="416">
        <v>0</v>
      </c>
      <c r="AL13" s="418">
        <v>0</v>
      </c>
      <c r="AM13" s="419">
        <f t="shared" si="11"/>
        <v>0</v>
      </c>
      <c r="AN13" s="416">
        <v>0</v>
      </c>
      <c r="AO13" s="418">
        <v>0</v>
      </c>
      <c r="AP13" s="419">
        <f t="shared" si="12"/>
        <v>0</v>
      </c>
      <c r="AQ13" s="416">
        <v>0</v>
      </c>
      <c r="AR13" s="418">
        <v>0</v>
      </c>
      <c r="AS13" s="419">
        <f t="shared" si="13"/>
        <v>0</v>
      </c>
      <c r="AT13" s="409"/>
    </row>
    <row r="14" spans="1:46" s="707" customFormat="1" x14ac:dyDescent="0.25">
      <c r="A14" s="790"/>
      <c r="B14" s="792"/>
      <c r="C14" s="411" t="s">
        <v>33</v>
      </c>
      <c r="D14" s="412">
        <f t="shared" si="0"/>
        <v>11553448</v>
      </c>
      <c r="E14" s="413">
        <f t="shared" si="14"/>
        <v>8665085.9900000002</v>
      </c>
      <c r="F14" s="414">
        <f t="shared" si="1"/>
        <v>-2888362.01</v>
      </c>
      <c r="G14" s="415">
        <v>11553448</v>
      </c>
      <c r="H14" s="416">
        <v>8665085.9900000002</v>
      </c>
      <c r="I14" s="417">
        <f t="shared" si="15"/>
        <v>-2888362.01</v>
      </c>
      <c r="J14" s="416">
        <v>0</v>
      </c>
      <c r="K14" s="416">
        <v>0</v>
      </c>
      <c r="L14" s="417">
        <f t="shared" si="2"/>
        <v>0</v>
      </c>
      <c r="M14" s="416">
        <v>0</v>
      </c>
      <c r="N14" s="416">
        <v>0</v>
      </c>
      <c r="O14" s="417">
        <f t="shared" si="3"/>
        <v>0</v>
      </c>
      <c r="P14" s="416">
        <v>0</v>
      </c>
      <c r="Q14" s="418">
        <v>0</v>
      </c>
      <c r="R14" s="419">
        <f t="shared" si="4"/>
        <v>0</v>
      </c>
      <c r="S14" s="416">
        <v>0</v>
      </c>
      <c r="T14" s="418">
        <v>0</v>
      </c>
      <c r="U14" s="419">
        <f t="shared" si="5"/>
        <v>0</v>
      </c>
      <c r="V14" s="416">
        <v>0</v>
      </c>
      <c r="W14" s="418">
        <v>0</v>
      </c>
      <c r="X14" s="419">
        <f t="shared" si="6"/>
        <v>0</v>
      </c>
      <c r="Y14" s="416">
        <v>0</v>
      </c>
      <c r="Z14" s="418">
        <v>0</v>
      </c>
      <c r="AA14" s="419">
        <f t="shared" si="7"/>
        <v>0</v>
      </c>
      <c r="AB14" s="416">
        <v>0</v>
      </c>
      <c r="AC14" s="418">
        <v>0</v>
      </c>
      <c r="AD14" s="419">
        <f t="shared" si="8"/>
        <v>0</v>
      </c>
      <c r="AE14" s="416">
        <v>0</v>
      </c>
      <c r="AF14" s="418">
        <v>0</v>
      </c>
      <c r="AG14" s="419">
        <f t="shared" si="9"/>
        <v>0</v>
      </c>
      <c r="AH14" s="416">
        <v>0</v>
      </c>
      <c r="AI14" s="418">
        <v>0</v>
      </c>
      <c r="AJ14" s="419">
        <f t="shared" si="10"/>
        <v>0</v>
      </c>
      <c r="AK14" s="416">
        <v>0</v>
      </c>
      <c r="AL14" s="418">
        <v>0</v>
      </c>
      <c r="AM14" s="419">
        <f t="shared" si="11"/>
        <v>0</v>
      </c>
      <c r="AN14" s="416">
        <v>0</v>
      </c>
      <c r="AO14" s="418">
        <v>0</v>
      </c>
      <c r="AP14" s="419">
        <f t="shared" si="12"/>
        <v>0</v>
      </c>
      <c r="AQ14" s="416">
        <v>0</v>
      </c>
      <c r="AR14" s="418">
        <v>0</v>
      </c>
      <c r="AS14" s="419">
        <f t="shared" si="13"/>
        <v>0</v>
      </c>
      <c r="AT14" s="409"/>
    </row>
    <row r="15" spans="1:46" s="707" customFormat="1" ht="15.75" thickBot="1" x14ac:dyDescent="0.3">
      <c r="A15" s="791"/>
      <c r="B15" s="793"/>
      <c r="C15" s="420" t="s">
        <v>34</v>
      </c>
      <c r="D15" s="421">
        <f t="shared" si="0"/>
        <v>11553448</v>
      </c>
      <c r="E15" s="422">
        <f t="shared" si="14"/>
        <v>8665085.9900000002</v>
      </c>
      <c r="F15" s="423">
        <f t="shared" si="1"/>
        <v>-2888362.01</v>
      </c>
      <c r="G15" s="415">
        <v>11553448</v>
      </c>
      <c r="H15" s="416">
        <v>8665085.9900000002</v>
      </c>
      <c r="I15" s="426">
        <f t="shared" si="15"/>
        <v>-2888362.01</v>
      </c>
      <c r="J15" s="425">
        <v>0</v>
      </c>
      <c r="K15" s="425">
        <v>0</v>
      </c>
      <c r="L15" s="426">
        <f t="shared" si="2"/>
        <v>0</v>
      </c>
      <c r="M15" s="425">
        <v>0</v>
      </c>
      <c r="N15" s="425">
        <v>0</v>
      </c>
      <c r="O15" s="426">
        <f t="shared" si="3"/>
        <v>0</v>
      </c>
      <c r="P15" s="425">
        <v>0</v>
      </c>
      <c r="Q15" s="427">
        <v>0</v>
      </c>
      <c r="R15" s="428">
        <f t="shared" si="4"/>
        <v>0</v>
      </c>
      <c r="S15" s="425">
        <v>0</v>
      </c>
      <c r="T15" s="427">
        <v>0</v>
      </c>
      <c r="U15" s="428">
        <f t="shared" si="5"/>
        <v>0</v>
      </c>
      <c r="V15" s="425">
        <v>0</v>
      </c>
      <c r="W15" s="427">
        <v>0</v>
      </c>
      <c r="X15" s="428">
        <f t="shared" si="6"/>
        <v>0</v>
      </c>
      <c r="Y15" s="425">
        <v>0</v>
      </c>
      <c r="Z15" s="427">
        <v>0</v>
      </c>
      <c r="AA15" s="428">
        <f t="shared" si="7"/>
        <v>0</v>
      </c>
      <c r="AB15" s="425">
        <v>0</v>
      </c>
      <c r="AC15" s="427">
        <v>0</v>
      </c>
      <c r="AD15" s="428">
        <f t="shared" si="8"/>
        <v>0</v>
      </c>
      <c r="AE15" s="425">
        <v>0</v>
      </c>
      <c r="AF15" s="427">
        <v>0</v>
      </c>
      <c r="AG15" s="428">
        <f t="shared" si="9"/>
        <v>0</v>
      </c>
      <c r="AH15" s="425">
        <v>0</v>
      </c>
      <c r="AI15" s="427">
        <v>0</v>
      </c>
      <c r="AJ15" s="428">
        <f t="shared" si="10"/>
        <v>0</v>
      </c>
      <c r="AK15" s="425">
        <v>0</v>
      </c>
      <c r="AL15" s="427">
        <v>0</v>
      </c>
      <c r="AM15" s="428">
        <f t="shared" si="11"/>
        <v>0</v>
      </c>
      <c r="AN15" s="425">
        <v>0</v>
      </c>
      <c r="AO15" s="427">
        <v>0</v>
      </c>
      <c r="AP15" s="428">
        <f t="shared" si="12"/>
        <v>0</v>
      </c>
      <c r="AQ15" s="425">
        <v>0</v>
      </c>
      <c r="AR15" s="427">
        <v>0</v>
      </c>
      <c r="AS15" s="428">
        <f t="shared" si="13"/>
        <v>0</v>
      </c>
      <c r="AT15" s="409"/>
    </row>
    <row r="16" spans="1:46" ht="14.45" customHeight="1" x14ac:dyDescent="0.25">
      <c r="A16" s="794" t="s">
        <v>464</v>
      </c>
      <c r="B16" s="795" t="s">
        <v>13</v>
      </c>
      <c r="C16" s="400" t="s">
        <v>25</v>
      </c>
      <c r="D16" s="401">
        <f t="shared" ref="D16:D35" si="16">G16+J16+M16+AQ16</f>
        <v>0</v>
      </c>
      <c r="E16" s="402">
        <f t="shared" ref="E16:E35" si="17">H16+K16+N16+AR16</f>
        <v>0</v>
      </c>
      <c r="F16" s="403">
        <f t="shared" ref="F16:F35" si="18">I16+L16+O16+AS16</f>
        <v>0</v>
      </c>
      <c r="G16" s="404"/>
      <c r="H16" s="405"/>
      <c r="I16" s="406">
        <f t="shared" ref="I16:I47" si="19">H16-G16</f>
        <v>0</v>
      </c>
      <c r="J16" s="405"/>
      <c r="K16" s="405"/>
      <c r="L16" s="406">
        <f t="shared" ref="L16:L47" si="20">K16-J16</f>
        <v>0</v>
      </c>
      <c r="M16" s="405"/>
      <c r="N16" s="405"/>
      <c r="O16" s="406">
        <f t="shared" ref="O16:O47" si="21">N16-M16</f>
        <v>0</v>
      </c>
      <c r="P16" s="405"/>
      <c r="Q16" s="407"/>
      <c r="R16" s="408">
        <f t="shared" ref="R16:R75" si="22">Q16-P16</f>
        <v>0</v>
      </c>
      <c r="S16" s="405"/>
      <c r="T16" s="407"/>
      <c r="U16" s="408">
        <f t="shared" ref="U16:U75" si="23">T16-S16</f>
        <v>0</v>
      </c>
      <c r="V16" s="405"/>
      <c r="W16" s="407"/>
      <c r="X16" s="408">
        <f t="shared" ref="X16:X75" si="24">W16-V16</f>
        <v>0</v>
      </c>
      <c r="Y16" s="405"/>
      <c r="Z16" s="407"/>
      <c r="AA16" s="408">
        <f t="shared" ref="AA16:AA75" si="25">Z16-Y16</f>
        <v>0</v>
      </c>
      <c r="AB16" s="405"/>
      <c r="AC16" s="407"/>
      <c r="AD16" s="408">
        <f t="shared" ref="AD16:AD75" si="26">AC16-AB16</f>
        <v>0</v>
      </c>
      <c r="AE16" s="405"/>
      <c r="AF16" s="407"/>
      <c r="AG16" s="408">
        <f t="shared" ref="AG16:AG75" si="27">AF16-AE16</f>
        <v>0</v>
      </c>
      <c r="AH16" s="405"/>
      <c r="AI16" s="407"/>
      <c r="AJ16" s="408">
        <f t="shared" ref="AJ16:AJ75" si="28">AI16-AH16</f>
        <v>0</v>
      </c>
      <c r="AK16" s="405"/>
      <c r="AL16" s="407"/>
      <c r="AM16" s="408">
        <f t="shared" ref="AM16:AM75" si="29">AL16-AK16</f>
        <v>0</v>
      </c>
      <c r="AN16" s="405"/>
      <c r="AO16" s="407"/>
      <c r="AP16" s="408">
        <f t="shared" ref="AP16:AP75" si="30">AO16-AN16</f>
        <v>0</v>
      </c>
      <c r="AQ16" s="405"/>
      <c r="AR16" s="407"/>
      <c r="AS16" s="408">
        <f t="shared" ref="AS16:AS47" si="31">AR16-AQ16</f>
        <v>0</v>
      </c>
      <c r="AT16" s="409">
        <v>0</v>
      </c>
    </row>
    <row r="17" spans="1:46" x14ac:dyDescent="0.25">
      <c r="A17" s="790"/>
      <c r="B17" s="792"/>
      <c r="C17" s="411" t="s">
        <v>26</v>
      </c>
      <c r="D17" s="412">
        <f t="shared" si="16"/>
        <v>0</v>
      </c>
      <c r="E17" s="413">
        <f t="shared" si="17"/>
        <v>0</v>
      </c>
      <c r="F17" s="414">
        <f t="shared" si="18"/>
        <v>0</v>
      </c>
      <c r="G17" s="415"/>
      <c r="H17" s="416"/>
      <c r="I17" s="417">
        <f t="shared" si="19"/>
        <v>0</v>
      </c>
      <c r="J17" s="416"/>
      <c r="K17" s="416"/>
      <c r="L17" s="417">
        <f t="shared" si="20"/>
        <v>0</v>
      </c>
      <c r="M17" s="416"/>
      <c r="N17" s="416"/>
      <c r="O17" s="417">
        <f t="shared" si="21"/>
        <v>0</v>
      </c>
      <c r="P17" s="416"/>
      <c r="Q17" s="418"/>
      <c r="R17" s="419">
        <f t="shared" si="22"/>
        <v>0</v>
      </c>
      <c r="S17" s="416"/>
      <c r="T17" s="418"/>
      <c r="U17" s="419">
        <f t="shared" si="23"/>
        <v>0</v>
      </c>
      <c r="V17" s="416"/>
      <c r="W17" s="418"/>
      <c r="X17" s="419">
        <f t="shared" si="24"/>
        <v>0</v>
      </c>
      <c r="Y17" s="416"/>
      <c r="Z17" s="418"/>
      <c r="AA17" s="419">
        <f t="shared" si="25"/>
        <v>0</v>
      </c>
      <c r="AB17" s="416"/>
      <c r="AC17" s="418"/>
      <c r="AD17" s="419">
        <f t="shared" si="26"/>
        <v>0</v>
      </c>
      <c r="AE17" s="416"/>
      <c r="AF17" s="418"/>
      <c r="AG17" s="419">
        <f t="shared" si="27"/>
        <v>0</v>
      </c>
      <c r="AH17" s="416"/>
      <c r="AI17" s="418"/>
      <c r="AJ17" s="419">
        <f t="shared" si="28"/>
        <v>0</v>
      </c>
      <c r="AK17" s="416"/>
      <c r="AL17" s="418"/>
      <c r="AM17" s="419">
        <f t="shared" si="29"/>
        <v>0</v>
      </c>
      <c r="AN17" s="416"/>
      <c r="AO17" s="418"/>
      <c r="AP17" s="419">
        <f t="shared" si="30"/>
        <v>0</v>
      </c>
      <c r="AQ17" s="416"/>
      <c r="AR17" s="418"/>
      <c r="AS17" s="419">
        <f t="shared" si="31"/>
        <v>0</v>
      </c>
      <c r="AT17" s="409"/>
    </row>
    <row r="18" spans="1:46" x14ac:dyDescent="0.25">
      <c r="A18" s="790"/>
      <c r="B18" s="792"/>
      <c r="C18" s="411" t="s">
        <v>27</v>
      </c>
      <c r="D18" s="412">
        <f t="shared" si="16"/>
        <v>3740910.9950000001</v>
      </c>
      <c r="E18" s="413">
        <f>H18+K18+N18+AR18</f>
        <v>2805683.2450000001</v>
      </c>
      <c r="F18" s="414">
        <f t="shared" si="18"/>
        <v>-935227.75</v>
      </c>
      <c r="G18" s="415">
        <f>7481821.99/2</f>
        <v>3740910.9950000001</v>
      </c>
      <c r="H18" s="416">
        <f>5611366.49/2</f>
        <v>2805683.2450000001</v>
      </c>
      <c r="I18" s="417">
        <f>H18-G18</f>
        <v>-935227.75</v>
      </c>
      <c r="J18" s="416"/>
      <c r="K18" s="416"/>
      <c r="L18" s="417">
        <f t="shared" si="20"/>
        <v>0</v>
      </c>
      <c r="M18" s="416"/>
      <c r="N18" s="416"/>
      <c r="O18" s="417">
        <f t="shared" si="21"/>
        <v>0</v>
      </c>
      <c r="P18" s="416"/>
      <c r="Q18" s="418"/>
      <c r="R18" s="419">
        <f t="shared" si="22"/>
        <v>0</v>
      </c>
      <c r="S18" s="416"/>
      <c r="T18" s="418"/>
      <c r="U18" s="419">
        <f t="shared" si="23"/>
        <v>0</v>
      </c>
      <c r="V18" s="416"/>
      <c r="W18" s="418"/>
      <c r="X18" s="419">
        <f t="shared" si="24"/>
        <v>0</v>
      </c>
      <c r="Y18" s="416"/>
      <c r="Z18" s="418"/>
      <c r="AA18" s="419">
        <f t="shared" si="25"/>
        <v>0</v>
      </c>
      <c r="AB18" s="416"/>
      <c r="AC18" s="418"/>
      <c r="AD18" s="419">
        <f t="shared" si="26"/>
        <v>0</v>
      </c>
      <c r="AE18" s="416"/>
      <c r="AF18" s="418"/>
      <c r="AG18" s="419">
        <f t="shared" si="27"/>
        <v>0</v>
      </c>
      <c r="AH18" s="416"/>
      <c r="AI18" s="418"/>
      <c r="AJ18" s="419">
        <f t="shared" si="28"/>
        <v>0</v>
      </c>
      <c r="AK18" s="416"/>
      <c r="AL18" s="418"/>
      <c r="AM18" s="419">
        <f t="shared" si="29"/>
        <v>0</v>
      </c>
      <c r="AN18" s="416"/>
      <c r="AO18" s="418"/>
      <c r="AP18" s="419">
        <f t="shared" si="30"/>
        <v>0</v>
      </c>
      <c r="AQ18" s="416"/>
      <c r="AR18" s="418"/>
      <c r="AS18" s="419">
        <f t="shared" si="31"/>
        <v>0</v>
      </c>
      <c r="AT18" s="409"/>
    </row>
    <row r="19" spans="1:46" x14ac:dyDescent="0.25">
      <c r="A19" s="790"/>
      <c r="B19" s="792"/>
      <c r="C19" s="411" t="s">
        <v>28</v>
      </c>
      <c r="D19" s="412">
        <f t="shared" si="16"/>
        <v>7481821.9900000002</v>
      </c>
      <c r="E19" s="413">
        <f>H19+K19+N19+AR19</f>
        <v>5611366.4900000002</v>
      </c>
      <c r="F19" s="414">
        <f t="shared" si="18"/>
        <v>-1870455.5</v>
      </c>
      <c r="G19" s="415">
        <v>7481821.9900000002</v>
      </c>
      <c r="H19" s="416">
        <v>5611366.4900000002</v>
      </c>
      <c r="I19" s="417">
        <f>H19-G19</f>
        <v>-1870455.5</v>
      </c>
      <c r="J19" s="416">
        <v>0</v>
      </c>
      <c r="K19" s="416">
        <v>0</v>
      </c>
      <c r="L19" s="417">
        <f t="shared" si="20"/>
        <v>0</v>
      </c>
      <c r="M19" s="416">
        <v>0</v>
      </c>
      <c r="N19" s="416">
        <v>0</v>
      </c>
      <c r="O19" s="417">
        <f t="shared" si="21"/>
        <v>0</v>
      </c>
      <c r="P19" s="416">
        <v>0</v>
      </c>
      <c r="Q19" s="418">
        <v>0</v>
      </c>
      <c r="R19" s="419">
        <f t="shared" si="22"/>
        <v>0</v>
      </c>
      <c r="S19" s="416">
        <v>0</v>
      </c>
      <c r="T19" s="418">
        <v>0</v>
      </c>
      <c r="U19" s="419">
        <f t="shared" si="23"/>
        <v>0</v>
      </c>
      <c r="V19" s="416">
        <v>0</v>
      </c>
      <c r="W19" s="418">
        <v>0</v>
      </c>
      <c r="X19" s="419">
        <f t="shared" si="24"/>
        <v>0</v>
      </c>
      <c r="Y19" s="416">
        <v>0</v>
      </c>
      <c r="Z19" s="418">
        <v>0</v>
      </c>
      <c r="AA19" s="419">
        <f t="shared" si="25"/>
        <v>0</v>
      </c>
      <c r="AB19" s="416">
        <v>0</v>
      </c>
      <c r="AC19" s="418">
        <v>0</v>
      </c>
      <c r="AD19" s="419">
        <f t="shared" si="26"/>
        <v>0</v>
      </c>
      <c r="AE19" s="416">
        <v>0</v>
      </c>
      <c r="AF19" s="418">
        <v>0</v>
      </c>
      <c r="AG19" s="419">
        <f t="shared" si="27"/>
        <v>0</v>
      </c>
      <c r="AH19" s="416">
        <v>0</v>
      </c>
      <c r="AI19" s="418">
        <v>0</v>
      </c>
      <c r="AJ19" s="419">
        <f t="shared" si="28"/>
        <v>0</v>
      </c>
      <c r="AK19" s="416">
        <v>0</v>
      </c>
      <c r="AL19" s="418">
        <v>0</v>
      </c>
      <c r="AM19" s="419">
        <f t="shared" si="29"/>
        <v>0</v>
      </c>
      <c r="AN19" s="416">
        <v>0</v>
      </c>
      <c r="AO19" s="418">
        <v>0</v>
      </c>
      <c r="AP19" s="419">
        <f t="shared" si="30"/>
        <v>0</v>
      </c>
      <c r="AQ19" s="416">
        <v>0</v>
      </c>
      <c r="AR19" s="418">
        <v>0</v>
      </c>
      <c r="AS19" s="419">
        <f t="shared" si="31"/>
        <v>0</v>
      </c>
      <c r="AT19" s="409"/>
    </row>
    <row r="20" spans="1:46" x14ac:dyDescent="0.25">
      <c r="A20" s="790"/>
      <c r="B20" s="792"/>
      <c r="C20" s="411" t="s">
        <v>29</v>
      </c>
      <c r="D20" s="412">
        <f t="shared" si="16"/>
        <v>7481821.9900000002</v>
      </c>
      <c r="E20" s="413">
        <f t="shared" si="17"/>
        <v>5611366.4900000002</v>
      </c>
      <c r="F20" s="414">
        <f t="shared" si="18"/>
        <v>-1870455.5</v>
      </c>
      <c r="G20" s="415">
        <v>7481821.9900000002</v>
      </c>
      <c r="H20" s="416">
        <v>5611366.4900000002</v>
      </c>
      <c r="I20" s="417">
        <f t="shared" si="19"/>
        <v>-1870455.5</v>
      </c>
      <c r="J20" s="416">
        <v>0</v>
      </c>
      <c r="K20" s="416">
        <v>0</v>
      </c>
      <c r="L20" s="417">
        <f t="shared" si="20"/>
        <v>0</v>
      </c>
      <c r="M20" s="416">
        <v>0</v>
      </c>
      <c r="N20" s="416">
        <v>0</v>
      </c>
      <c r="O20" s="417">
        <f t="shared" si="21"/>
        <v>0</v>
      </c>
      <c r="P20" s="416">
        <v>0</v>
      </c>
      <c r="Q20" s="418">
        <v>0</v>
      </c>
      <c r="R20" s="419">
        <f t="shared" si="22"/>
        <v>0</v>
      </c>
      <c r="S20" s="416">
        <v>0</v>
      </c>
      <c r="T20" s="418">
        <v>0</v>
      </c>
      <c r="U20" s="419">
        <f t="shared" si="23"/>
        <v>0</v>
      </c>
      <c r="V20" s="416">
        <v>0</v>
      </c>
      <c r="W20" s="418">
        <v>0</v>
      </c>
      <c r="X20" s="419">
        <f t="shared" si="24"/>
        <v>0</v>
      </c>
      <c r="Y20" s="416">
        <v>0</v>
      </c>
      <c r="Z20" s="418">
        <v>0</v>
      </c>
      <c r="AA20" s="419">
        <f t="shared" si="25"/>
        <v>0</v>
      </c>
      <c r="AB20" s="416">
        <v>0</v>
      </c>
      <c r="AC20" s="418">
        <v>0</v>
      </c>
      <c r="AD20" s="419">
        <f t="shared" si="26"/>
        <v>0</v>
      </c>
      <c r="AE20" s="416">
        <v>0</v>
      </c>
      <c r="AF20" s="418">
        <v>0</v>
      </c>
      <c r="AG20" s="419">
        <f t="shared" si="27"/>
        <v>0</v>
      </c>
      <c r="AH20" s="416">
        <v>0</v>
      </c>
      <c r="AI20" s="418">
        <v>0</v>
      </c>
      <c r="AJ20" s="419">
        <f t="shared" si="28"/>
        <v>0</v>
      </c>
      <c r="AK20" s="416">
        <v>0</v>
      </c>
      <c r="AL20" s="418">
        <v>0</v>
      </c>
      <c r="AM20" s="419">
        <f t="shared" si="29"/>
        <v>0</v>
      </c>
      <c r="AN20" s="416">
        <v>0</v>
      </c>
      <c r="AO20" s="418">
        <v>0</v>
      </c>
      <c r="AP20" s="419">
        <f t="shared" si="30"/>
        <v>0</v>
      </c>
      <c r="AQ20" s="416">
        <v>0</v>
      </c>
      <c r="AR20" s="418">
        <v>0</v>
      </c>
      <c r="AS20" s="419">
        <f t="shared" si="31"/>
        <v>0</v>
      </c>
      <c r="AT20" s="409"/>
    </row>
    <row r="21" spans="1:46" x14ac:dyDescent="0.25">
      <c r="A21" s="790"/>
      <c r="B21" s="792"/>
      <c r="C21" s="411" t="s">
        <v>30</v>
      </c>
      <c r="D21" s="412">
        <f t="shared" si="16"/>
        <v>7481821.9900000002</v>
      </c>
      <c r="E21" s="413">
        <f t="shared" si="17"/>
        <v>5611366.4900000002</v>
      </c>
      <c r="F21" s="414">
        <f t="shared" si="18"/>
        <v>-1870455.5</v>
      </c>
      <c r="G21" s="415">
        <v>7481821.9900000002</v>
      </c>
      <c r="H21" s="416">
        <v>5611366.4900000002</v>
      </c>
      <c r="I21" s="417">
        <f t="shared" si="19"/>
        <v>-1870455.5</v>
      </c>
      <c r="J21" s="416">
        <v>0</v>
      </c>
      <c r="K21" s="416">
        <v>0</v>
      </c>
      <c r="L21" s="417">
        <f t="shared" si="20"/>
        <v>0</v>
      </c>
      <c r="M21" s="416">
        <v>0</v>
      </c>
      <c r="N21" s="416">
        <v>0</v>
      </c>
      <c r="O21" s="417">
        <f t="shared" si="21"/>
        <v>0</v>
      </c>
      <c r="P21" s="416">
        <v>0</v>
      </c>
      <c r="Q21" s="418">
        <v>0</v>
      </c>
      <c r="R21" s="419">
        <f t="shared" si="22"/>
        <v>0</v>
      </c>
      <c r="S21" s="416">
        <v>0</v>
      </c>
      <c r="T21" s="418">
        <v>0</v>
      </c>
      <c r="U21" s="419">
        <f t="shared" si="23"/>
        <v>0</v>
      </c>
      <c r="V21" s="416">
        <v>0</v>
      </c>
      <c r="W21" s="418">
        <v>0</v>
      </c>
      <c r="X21" s="419">
        <f t="shared" si="24"/>
        <v>0</v>
      </c>
      <c r="Y21" s="416">
        <v>0</v>
      </c>
      <c r="Z21" s="418">
        <v>0</v>
      </c>
      <c r="AA21" s="419">
        <f t="shared" si="25"/>
        <v>0</v>
      </c>
      <c r="AB21" s="416">
        <v>0</v>
      </c>
      <c r="AC21" s="418">
        <v>0</v>
      </c>
      <c r="AD21" s="419">
        <f t="shared" si="26"/>
        <v>0</v>
      </c>
      <c r="AE21" s="416">
        <v>0</v>
      </c>
      <c r="AF21" s="418">
        <v>0</v>
      </c>
      <c r="AG21" s="419">
        <f t="shared" si="27"/>
        <v>0</v>
      </c>
      <c r="AH21" s="416">
        <v>0</v>
      </c>
      <c r="AI21" s="418">
        <v>0</v>
      </c>
      <c r="AJ21" s="419">
        <f t="shared" si="28"/>
        <v>0</v>
      </c>
      <c r="AK21" s="416">
        <v>0</v>
      </c>
      <c r="AL21" s="418">
        <v>0</v>
      </c>
      <c r="AM21" s="419">
        <f t="shared" si="29"/>
        <v>0</v>
      </c>
      <c r="AN21" s="416">
        <v>0</v>
      </c>
      <c r="AO21" s="418">
        <v>0</v>
      </c>
      <c r="AP21" s="419">
        <f t="shared" si="30"/>
        <v>0</v>
      </c>
      <c r="AQ21" s="416">
        <v>0</v>
      </c>
      <c r="AR21" s="418">
        <v>0</v>
      </c>
      <c r="AS21" s="419">
        <f t="shared" si="31"/>
        <v>0</v>
      </c>
      <c r="AT21" s="409"/>
    </row>
    <row r="22" spans="1:46" x14ac:dyDescent="0.25">
      <c r="A22" s="790"/>
      <c r="B22" s="792"/>
      <c r="C22" s="411" t="s">
        <v>31</v>
      </c>
      <c r="D22" s="412">
        <f t="shared" si="16"/>
        <v>7481821.9900000002</v>
      </c>
      <c r="E22" s="413">
        <f t="shared" si="17"/>
        <v>5611366.4900000002</v>
      </c>
      <c r="F22" s="414">
        <f t="shared" si="18"/>
        <v>-1870455.5</v>
      </c>
      <c r="G22" s="415">
        <v>7481821.9900000002</v>
      </c>
      <c r="H22" s="416">
        <v>5611366.4900000002</v>
      </c>
      <c r="I22" s="417">
        <f t="shared" si="19"/>
        <v>-1870455.5</v>
      </c>
      <c r="J22" s="416">
        <v>0</v>
      </c>
      <c r="K22" s="416">
        <v>0</v>
      </c>
      <c r="L22" s="417">
        <f t="shared" si="20"/>
        <v>0</v>
      </c>
      <c r="M22" s="416">
        <v>0</v>
      </c>
      <c r="N22" s="416">
        <v>0</v>
      </c>
      <c r="O22" s="417">
        <f t="shared" si="21"/>
        <v>0</v>
      </c>
      <c r="P22" s="416">
        <v>0</v>
      </c>
      <c r="Q22" s="418">
        <v>0</v>
      </c>
      <c r="R22" s="419">
        <f t="shared" si="22"/>
        <v>0</v>
      </c>
      <c r="S22" s="416">
        <v>0</v>
      </c>
      <c r="T22" s="418">
        <v>0</v>
      </c>
      <c r="U22" s="419">
        <f t="shared" si="23"/>
        <v>0</v>
      </c>
      <c r="V22" s="416">
        <v>0</v>
      </c>
      <c r="W22" s="418">
        <v>0</v>
      </c>
      <c r="X22" s="419">
        <f t="shared" si="24"/>
        <v>0</v>
      </c>
      <c r="Y22" s="416">
        <v>0</v>
      </c>
      <c r="Z22" s="418">
        <v>0</v>
      </c>
      <c r="AA22" s="419">
        <f t="shared" si="25"/>
        <v>0</v>
      </c>
      <c r="AB22" s="416">
        <v>0</v>
      </c>
      <c r="AC22" s="418">
        <v>0</v>
      </c>
      <c r="AD22" s="419">
        <f t="shared" si="26"/>
        <v>0</v>
      </c>
      <c r="AE22" s="416">
        <v>0</v>
      </c>
      <c r="AF22" s="418">
        <v>0</v>
      </c>
      <c r="AG22" s="419">
        <f t="shared" si="27"/>
        <v>0</v>
      </c>
      <c r="AH22" s="416">
        <v>0</v>
      </c>
      <c r="AI22" s="418">
        <v>0</v>
      </c>
      <c r="AJ22" s="419">
        <f t="shared" si="28"/>
        <v>0</v>
      </c>
      <c r="AK22" s="416">
        <v>0</v>
      </c>
      <c r="AL22" s="418">
        <v>0</v>
      </c>
      <c r="AM22" s="419">
        <f t="shared" si="29"/>
        <v>0</v>
      </c>
      <c r="AN22" s="416">
        <v>0</v>
      </c>
      <c r="AO22" s="418">
        <v>0</v>
      </c>
      <c r="AP22" s="419">
        <f t="shared" si="30"/>
        <v>0</v>
      </c>
      <c r="AQ22" s="416">
        <v>0</v>
      </c>
      <c r="AR22" s="418">
        <v>0</v>
      </c>
      <c r="AS22" s="419">
        <f t="shared" si="31"/>
        <v>0</v>
      </c>
      <c r="AT22" s="409"/>
    </row>
    <row r="23" spans="1:46" x14ac:dyDescent="0.25">
      <c r="A23" s="790"/>
      <c r="B23" s="792"/>
      <c r="C23" s="411" t="s">
        <v>32</v>
      </c>
      <c r="D23" s="412">
        <f t="shared" si="16"/>
        <v>7481821.9900000002</v>
      </c>
      <c r="E23" s="413">
        <f t="shared" si="17"/>
        <v>5611366.4900000002</v>
      </c>
      <c r="F23" s="414">
        <f t="shared" si="18"/>
        <v>-1870455.5</v>
      </c>
      <c r="G23" s="415">
        <v>7481821.9900000002</v>
      </c>
      <c r="H23" s="416">
        <v>5611366.4900000002</v>
      </c>
      <c r="I23" s="417">
        <f t="shared" si="19"/>
        <v>-1870455.5</v>
      </c>
      <c r="J23" s="416">
        <v>0</v>
      </c>
      <c r="K23" s="416">
        <v>0</v>
      </c>
      <c r="L23" s="417">
        <f t="shared" si="20"/>
        <v>0</v>
      </c>
      <c r="M23" s="416">
        <v>0</v>
      </c>
      <c r="N23" s="416">
        <v>0</v>
      </c>
      <c r="O23" s="417">
        <f t="shared" si="21"/>
        <v>0</v>
      </c>
      <c r="P23" s="416">
        <v>0</v>
      </c>
      <c r="Q23" s="418">
        <v>0</v>
      </c>
      <c r="R23" s="419">
        <f t="shared" si="22"/>
        <v>0</v>
      </c>
      <c r="S23" s="416">
        <v>0</v>
      </c>
      <c r="T23" s="418">
        <v>0</v>
      </c>
      <c r="U23" s="419">
        <f t="shared" si="23"/>
        <v>0</v>
      </c>
      <c r="V23" s="416">
        <v>0</v>
      </c>
      <c r="W23" s="418">
        <v>0</v>
      </c>
      <c r="X23" s="419">
        <f t="shared" si="24"/>
        <v>0</v>
      </c>
      <c r="Y23" s="416">
        <v>0</v>
      </c>
      <c r="Z23" s="418">
        <v>0</v>
      </c>
      <c r="AA23" s="419">
        <f t="shared" si="25"/>
        <v>0</v>
      </c>
      <c r="AB23" s="416">
        <v>0</v>
      </c>
      <c r="AC23" s="418">
        <v>0</v>
      </c>
      <c r="AD23" s="419">
        <f t="shared" si="26"/>
        <v>0</v>
      </c>
      <c r="AE23" s="416">
        <v>0</v>
      </c>
      <c r="AF23" s="418">
        <v>0</v>
      </c>
      <c r="AG23" s="419">
        <f t="shared" si="27"/>
        <v>0</v>
      </c>
      <c r="AH23" s="416">
        <v>0</v>
      </c>
      <c r="AI23" s="418">
        <v>0</v>
      </c>
      <c r="AJ23" s="419">
        <f t="shared" si="28"/>
        <v>0</v>
      </c>
      <c r="AK23" s="416">
        <v>0</v>
      </c>
      <c r="AL23" s="418">
        <v>0</v>
      </c>
      <c r="AM23" s="419">
        <f t="shared" si="29"/>
        <v>0</v>
      </c>
      <c r="AN23" s="416">
        <v>0</v>
      </c>
      <c r="AO23" s="418">
        <v>0</v>
      </c>
      <c r="AP23" s="419">
        <f t="shared" si="30"/>
        <v>0</v>
      </c>
      <c r="AQ23" s="416">
        <v>0</v>
      </c>
      <c r="AR23" s="418">
        <v>0</v>
      </c>
      <c r="AS23" s="419">
        <f t="shared" si="31"/>
        <v>0</v>
      </c>
      <c r="AT23" s="409"/>
    </row>
    <row r="24" spans="1:46" x14ac:dyDescent="0.25">
      <c r="A24" s="790"/>
      <c r="B24" s="792"/>
      <c r="C24" s="411" t="s">
        <v>33</v>
      </c>
      <c r="D24" s="412">
        <f t="shared" si="16"/>
        <v>7481821.9900000002</v>
      </c>
      <c r="E24" s="413">
        <f t="shared" si="17"/>
        <v>5611366.4900000002</v>
      </c>
      <c r="F24" s="414">
        <f t="shared" si="18"/>
        <v>-1870455.5</v>
      </c>
      <c r="G24" s="415">
        <v>7481821.9900000002</v>
      </c>
      <c r="H24" s="416">
        <v>5611366.4900000002</v>
      </c>
      <c r="I24" s="417">
        <f t="shared" si="19"/>
        <v>-1870455.5</v>
      </c>
      <c r="J24" s="416">
        <v>0</v>
      </c>
      <c r="K24" s="416">
        <v>0</v>
      </c>
      <c r="L24" s="417">
        <f t="shared" si="20"/>
        <v>0</v>
      </c>
      <c r="M24" s="416">
        <v>0</v>
      </c>
      <c r="N24" s="416">
        <v>0</v>
      </c>
      <c r="O24" s="417">
        <f t="shared" si="21"/>
        <v>0</v>
      </c>
      <c r="P24" s="416">
        <v>0</v>
      </c>
      <c r="Q24" s="418">
        <v>0</v>
      </c>
      <c r="R24" s="419">
        <f t="shared" si="22"/>
        <v>0</v>
      </c>
      <c r="S24" s="416">
        <v>0</v>
      </c>
      <c r="T24" s="418">
        <v>0</v>
      </c>
      <c r="U24" s="419">
        <f t="shared" si="23"/>
        <v>0</v>
      </c>
      <c r="V24" s="416">
        <v>0</v>
      </c>
      <c r="W24" s="418">
        <v>0</v>
      </c>
      <c r="X24" s="419">
        <f t="shared" si="24"/>
        <v>0</v>
      </c>
      <c r="Y24" s="416">
        <v>0</v>
      </c>
      <c r="Z24" s="418">
        <v>0</v>
      </c>
      <c r="AA24" s="419">
        <f t="shared" si="25"/>
        <v>0</v>
      </c>
      <c r="AB24" s="416">
        <v>0</v>
      </c>
      <c r="AC24" s="418">
        <v>0</v>
      </c>
      <c r="AD24" s="419">
        <f t="shared" si="26"/>
        <v>0</v>
      </c>
      <c r="AE24" s="416">
        <v>0</v>
      </c>
      <c r="AF24" s="418">
        <v>0</v>
      </c>
      <c r="AG24" s="419">
        <f t="shared" si="27"/>
        <v>0</v>
      </c>
      <c r="AH24" s="416">
        <v>0</v>
      </c>
      <c r="AI24" s="418">
        <v>0</v>
      </c>
      <c r="AJ24" s="419">
        <f t="shared" si="28"/>
        <v>0</v>
      </c>
      <c r="AK24" s="416">
        <v>0</v>
      </c>
      <c r="AL24" s="418">
        <v>0</v>
      </c>
      <c r="AM24" s="419">
        <f t="shared" si="29"/>
        <v>0</v>
      </c>
      <c r="AN24" s="416">
        <v>0</v>
      </c>
      <c r="AO24" s="418">
        <v>0</v>
      </c>
      <c r="AP24" s="419">
        <f t="shared" si="30"/>
        <v>0</v>
      </c>
      <c r="AQ24" s="416">
        <v>0</v>
      </c>
      <c r="AR24" s="418">
        <v>0</v>
      </c>
      <c r="AS24" s="419">
        <f t="shared" si="31"/>
        <v>0</v>
      </c>
      <c r="AT24" s="409"/>
    </row>
    <row r="25" spans="1:46" ht="15.75" thickBot="1" x14ac:dyDescent="0.3">
      <c r="A25" s="791"/>
      <c r="B25" s="793"/>
      <c r="C25" s="420" t="s">
        <v>34</v>
      </c>
      <c r="D25" s="421">
        <f t="shared" si="16"/>
        <v>7481821.9900000002</v>
      </c>
      <c r="E25" s="422">
        <f t="shared" si="17"/>
        <v>5611366.4900000002</v>
      </c>
      <c r="F25" s="423">
        <f t="shared" si="18"/>
        <v>-1870455.5</v>
      </c>
      <c r="G25" s="415">
        <v>7481821.9900000002</v>
      </c>
      <c r="H25" s="416">
        <v>5611366.4900000002</v>
      </c>
      <c r="I25" s="426">
        <f t="shared" si="19"/>
        <v>-1870455.5</v>
      </c>
      <c r="J25" s="425">
        <v>0</v>
      </c>
      <c r="K25" s="425">
        <v>0</v>
      </c>
      <c r="L25" s="426">
        <f t="shared" si="20"/>
        <v>0</v>
      </c>
      <c r="M25" s="425">
        <v>0</v>
      </c>
      <c r="N25" s="425">
        <v>0</v>
      </c>
      <c r="O25" s="426">
        <f t="shared" si="21"/>
        <v>0</v>
      </c>
      <c r="P25" s="425">
        <v>0</v>
      </c>
      <c r="Q25" s="427">
        <v>0</v>
      </c>
      <c r="R25" s="428">
        <f t="shared" si="22"/>
        <v>0</v>
      </c>
      <c r="S25" s="425">
        <v>0</v>
      </c>
      <c r="T25" s="427">
        <v>0</v>
      </c>
      <c r="U25" s="428">
        <f t="shared" si="23"/>
        <v>0</v>
      </c>
      <c r="V25" s="425">
        <v>0</v>
      </c>
      <c r="W25" s="427">
        <v>0</v>
      </c>
      <c r="X25" s="428">
        <f t="shared" si="24"/>
        <v>0</v>
      </c>
      <c r="Y25" s="425">
        <v>0</v>
      </c>
      <c r="Z25" s="427">
        <v>0</v>
      </c>
      <c r="AA25" s="428">
        <f t="shared" si="25"/>
        <v>0</v>
      </c>
      <c r="AB25" s="425">
        <v>0</v>
      </c>
      <c r="AC25" s="427">
        <v>0</v>
      </c>
      <c r="AD25" s="428">
        <f t="shared" si="26"/>
        <v>0</v>
      </c>
      <c r="AE25" s="425">
        <v>0</v>
      </c>
      <c r="AF25" s="427">
        <v>0</v>
      </c>
      <c r="AG25" s="428">
        <f t="shared" si="27"/>
        <v>0</v>
      </c>
      <c r="AH25" s="425">
        <v>0</v>
      </c>
      <c r="AI25" s="427">
        <v>0</v>
      </c>
      <c r="AJ25" s="428">
        <f t="shared" si="28"/>
        <v>0</v>
      </c>
      <c r="AK25" s="425">
        <v>0</v>
      </c>
      <c r="AL25" s="427">
        <v>0</v>
      </c>
      <c r="AM25" s="428">
        <f t="shared" si="29"/>
        <v>0</v>
      </c>
      <c r="AN25" s="425">
        <v>0</v>
      </c>
      <c r="AO25" s="427">
        <v>0</v>
      </c>
      <c r="AP25" s="428">
        <f t="shared" si="30"/>
        <v>0</v>
      </c>
      <c r="AQ25" s="425">
        <v>0</v>
      </c>
      <c r="AR25" s="427">
        <v>0</v>
      </c>
      <c r="AS25" s="428">
        <f t="shared" si="31"/>
        <v>0</v>
      </c>
      <c r="AT25" s="409"/>
    </row>
    <row r="26" spans="1:46" x14ac:dyDescent="0.25">
      <c r="A26" s="794" t="s">
        <v>442</v>
      </c>
      <c r="B26" s="795" t="s">
        <v>13</v>
      </c>
      <c r="C26" s="400" t="s">
        <v>25</v>
      </c>
      <c r="D26" s="708">
        <f t="shared" si="16"/>
        <v>0</v>
      </c>
      <c r="E26" s="709">
        <f t="shared" si="17"/>
        <v>0</v>
      </c>
      <c r="F26" s="710">
        <f t="shared" si="18"/>
        <v>0</v>
      </c>
      <c r="G26" s="711"/>
      <c r="H26" s="712"/>
      <c r="I26" s="713">
        <f t="shared" si="19"/>
        <v>0</v>
      </c>
      <c r="J26" s="433"/>
      <c r="K26" s="433"/>
      <c r="L26" s="434">
        <f t="shared" si="20"/>
        <v>0</v>
      </c>
      <c r="M26" s="433"/>
      <c r="N26" s="433"/>
      <c r="O26" s="434">
        <f t="shared" si="21"/>
        <v>0</v>
      </c>
      <c r="P26" s="433"/>
      <c r="Q26" s="435"/>
      <c r="R26" s="499">
        <f t="shared" si="22"/>
        <v>0</v>
      </c>
      <c r="S26" s="433"/>
      <c r="T26" s="435"/>
      <c r="U26" s="499">
        <f t="shared" si="23"/>
        <v>0</v>
      </c>
      <c r="V26" s="433"/>
      <c r="W26" s="435"/>
      <c r="X26" s="499">
        <f t="shared" si="24"/>
        <v>0</v>
      </c>
      <c r="Y26" s="433"/>
      <c r="Z26" s="435"/>
      <c r="AA26" s="499">
        <f t="shared" si="25"/>
        <v>0</v>
      </c>
      <c r="AB26" s="433"/>
      <c r="AC26" s="435"/>
      <c r="AD26" s="499">
        <f t="shared" si="26"/>
        <v>0</v>
      </c>
      <c r="AE26" s="433"/>
      <c r="AF26" s="435"/>
      <c r="AG26" s="499">
        <f t="shared" si="27"/>
        <v>0</v>
      </c>
      <c r="AH26" s="433"/>
      <c r="AI26" s="435"/>
      <c r="AJ26" s="499">
        <f t="shared" si="28"/>
        <v>0</v>
      </c>
      <c r="AK26" s="433"/>
      <c r="AL26" s="435"/>
      <c r="AM26" s="499">
        <f t="shared" si="29"/>
        <v>0</v>
      </c>
      <c r="AN26" s="433"/>
      <c r="AO26" s="435"/>
      <c r="AP26" s="499">
        <f t="shared" si="30"/>
        <v>0</v>
      </c>
      <c r="AQ26" s="433"/>
      <c r="AR26" s="435"/>
      <c r="AS26" s="436">
        <f t="shared" si="31"/>
        <v>0</v>
      </c>
      <c r="AT26" s="409"/>
    </row>
    <row r="27" spans="1:46" x14ac:dyDescent="0.25">
      <c r="A27" s="790"/>
      <c r="B27" s="792"/>
      <c r="C27" s="411" t="s">
        <v>26</v>
      </c>
      <c r="D27" s="714">
        <f t="shared" si="16"/>
        <v>0</v>
      </c>
      <c r="E27" s="715">
        <f t="shared" si="17"/>
        <v>0</v>
      </c>
      <c r="F27" s="716">
        <f t="shared" si="18"/>
        <v>0</v>
      </c>
      <c r="G27" s="717"/>
      <c r="H27" s="718"/>
      <c r="I27" s="719">
        <f t="shared" si="19"/>
        <v>0</v>
      </c>
      <c r="J27" s="441"/>
      <c r="K27" s="441"/>
      <c r="L27" s="442">
        <f t="shared" si="20"/>
        <v>0</v>
      </c>
      <c r="M27" s="441"/>
      <c r="N27" s="441"/>
      <c r="O27" s="442">
        <f t="shared" si="21"/>
        <v>0</v>
      </c>
      <c r="P27" s="441"/>
      <c r="Q27" s="443"/>
      <c r="R27" s="504">
        <f t="shared" si="22"/>
        <v>0</v>
      </c>
      <c r="S27" s="441"/>
      <c r="T27" s="443"/>
      <c r="U27" s="504">
        <f t="shared" si="23"/>
        <v>0</v>
      </c>
      <c r="V27" s="441"/>
      <c r="W27" s="443"/>
      <c r="X27" s="504">
        <f t="shared" si="24"/>
        <v>0</v>
      </c>
      <c r="Y27" s="441"/>
      <c r="Z27" s="443"/>
      <c r="AA27" s="504">
        <f t="shared" si="25"/>
        <v>0</v>
      </c>
      <c r="AB27" s="441"/>
      <c r="AC27" s="443"/>
      <c r="AD27" s="504">
        <f t="shared" si="26"/>
        <v>0</v>
      </c>
      <c r="AE27" s="441"/>
      <c r="AF27" s="443"/>
      <c r="AG27" s="504">
        <f t="shared" si="27"/>
        <v>0</v>
      </c>
      <c r="AH27" s="441"/>
      <c r="AI27" s="443"/>
      <c r="AJ27" s="504">
        <f t="shared" si="28"/>
        <v>0</v>
      </c>
      <c r="AK27" s="441"/>
      <c r="AL27" s="443"/>
      <c r="AM27" s="504">
        <f t="shared" si="29"/>
        <v>0</v>
      </c>
      <c r="AN27" s="441"/>
      <c r="AO27" s="443"/>
      <c r="AP27" s="504">
        <f t="shared" si="30"/>
        <v>0</v>
      </c>
      <c r="AQ27" s="441"/>
      <c r="AR27" s="443"/>
      <c r="AS27" s="444">
        <f t="shared" si="31"/>
        <v>0</v>
      </c>
      <c r="AT27" s="409"/>
    </row>
    <row r="28" spans="1:46" x14ac:dyDescent="0.25">
      <c r="A28" s="790"/>
      <c r="B28" s="792"/>
      <c r="C28" s="411" t="s">
        <v>27</v>
      </c>
      <c r="D28" s="714">
        <f t="shared" si="16"/>
        <v>4676365.0250000004</v>
      </c>
      <c r="E28" s="715">
        <f t="shared" si="17"/>
        <v>4091819.398</v>
      </c>
      <c r="F28" s="716">
        <f t="shared" si="18"/>
        <v>-584545.62700000033</v>
      </c>
      <c r="G28" s="717">
        <f>9352730.05/2</f>
        <v>4676365.0250000004</v>
      </c>
      <c r="H28" s="718">
        <f>H29/2</f>
        <v>4091819.398</v>
      </c>
      <c r="I28" s="719">
        <f t="shared" si="19"/>
        <v>-584545.62700000033</v>
      </c>
      <c r="J28" s="441"/>
      <c r="K28" s="441"/>
      <c r="L28" s="442">
        <f t="shared" si="20"/>
        <v>0</v>
      </c>
      <c r="M28" s="441"/>
      <c r="N28" s="441"/>
      <c r="O28" s="442">
        <f t="shared" si="21"/>
        <v>0</v>
      </c>
      <c r="P28" s="441"/>
      <c r="Q28" s="443"/>
      <c r="R28" s="504">
        <f t="shared" si="22"/>
        <v>0</v>
      </c>
      <c r="S28" s="441"/>
      <c r="T28" s="443"/>
      <c r="U28" s="504">
        <f t="shared" si="23"/>
        <v>0</v>
      </c>
      <c r="V28" s="441"/>
      <c r="W28" s="443"/>
      <c r="X28" s="504">
        <f t="shared" si="24"/>
        <v>0</v>
      </c>
      <c r="Y28" s="441"/>
      <c r="Z28" s="443"/>
      <c r="AA28" s="504">
        <f t="shared" si="25"/>
        <v>0</v>
      </c>
      <c r="AB28" s="441"/>
      <c r="AC28" s="443"/>
      <c r="AD28" s="504">
        <f t="shared" si="26"/>
        <v>0</v>
      </c>
      <c r="AE28" s="441"/>
      <c r="AF28" s="443"/>
      <c r="AG28" s="504">
        <f t="shared" si="27"/>
        <v>0</v>
      </c>
      <c r="AH28" s="441"/>
      <c r="AI28" s="443"/>
      <c r="AJ28" s="504">
        <f t="shared" si="28"/>
        <v>0</v>
      </c>
      <c r="AK28" s="441"/>
      <c r="AL28" s="443"/>
      <c r="AM28" s="504">
        <f t="shared" si="29"/>
        <v>0</v>
      </c>
      <c r="AN28" s="441"/>
      <c r="AO28" s="443"/>
      <c r="AP28" s="504">
        <f t="shared" si="30"/>
        <v>0</v>
      </c>
      <c r="AQ28" s="441"/>
      <c r="AR28" s="443"/>
      <c r="AS28" s="444">
        <f t="shared" si="31"/>
        <v>0</v>
      </c>
      <c r="AT28" s="409"/>
    </row>
    <row r="29" spans="1:46" x14ac:dyDescent="0.25">
      <c r="A29" s="790"/>
      <c r="B29" s="792"/>
      <c r="C29" s="411" t="s">
        <v>28</v>
      </c>
      <c r="D29" s="714">
        <f t="shared" si="16"/>
        <v>9352730.0500000007</v>
      </c>
      <c r="E29" s="715">
        <f t="shared" si="17"/>
        <v>8183638.7960000001</v>
      </c>
      <c r="F29" s="716">
        <f t="shared" si="18"/>
        <v>-1169091.2540000007</v>
      </c>
      <c r="G29" s="717">
        <v>9352730.0500000007</v>
      </c>
      <c r="H29" s="718">
        <v>8183638.7960000001</v>
      </c>
      <c r="I29" s="719">
        <f t="shared" si="19"/>
        <v>-1169091.2540000007</v>
      </c>
      <c r="J29" s="441"/>
      <c r="K29" s="441"/>
      <c r="L29" s="442">
        <f t="shared" si="20"/>
        <v>0</v>
      </c>
      <c r="M29" s="441"/>
      <c r="N29" s="441"/>
      <c r="O29" s="442">
        <f t="shared" si="21"/>
        <v>0</v>
      </c>
      <c r="P29" s="441"/>
      <c r="Q29" s="443"/>
      <c r="R29" s="504">
        <f t="shared" si="22"/>
        <v>0</v>
      </c>
      <c r="S29" s="441"/>
      <c r="T29" s="443"/>
      <c r="U29" s="504">
        <f t="shared" si="23"/>
        <v>0</v>
      </c>
      <c r="V29" s="441"/>
      <c r="W29" s="443"/>
      <c r="X29" s="504">
        <f t="shared" si="24"/>
        <v>0</v>
      </c>
      <c r="Y29" s="441"/>
      <c r="Z29" s="443"/>
      <c r="AA29" s="504">
        <f t="shared" si="25"/>
        <v>0</v>
      </c>
      <c r="AB29" s="441"/>
      <c r="AC29" s="443"/>
      <c r="AD29" s="504">
        <f t="shared" si="26"/>
        <v>0</v>
      </c>
      <c r="AE29" s="441"/>
      <c r="AF29" s="443"/>
      <c r="AG29" s="504">
        <f t="shared" si="27"/>
        <v>0</v>
      </c>
      <c r="AH29" s="441"/>
      <c r="AI29" s="443"/>
      <c r="AJ29" s="504">
        <f t="shared" si="28"/>
        <v>0</v>
      </c>
      <c r="AK29" s="441"/>
      <c r="AL29" s="443"/>
      <c r="AM29" s="504">
        <f t="shared" si="29"/>
        <v>0</v>
      </c>
      <c r="AN29" s="441"/>
      <c r="AO29" s="443"/>
      <c r="AP29" s="504">
        <f t="shared" si="30"/>
        <v>0</v>
      </c>
      <c r="AQ29" s="441"/>
      <c r="AR29" s="443"/>
      <c r="AS29" s="444">
        <f t="shared" si="31"/>
        <v>0</v>
      </c>
      <c r="AT29" s="409"/>
    </row>
    <row r="30" spans="1:46" x14ac:dyDescent="0.25">
      <c r="A30" s="790"/>
      <c r="B30" s="792"/>
      <c r="C30" s="411" t="s">
        <v>29</v>
      </c>
      <c r="D30" s="714">
        <f t="shared" si="16"/>
        <v>9352730.0500000007</v>
      </c>
      <c r="E30" s="715">
        <f t="shared" si="17"/>
        <v>8183638.7960000001</v>
      </c>
      <c r="F30" s="716">
        <f t="shared" si="18"/>
        <v>-1169091.2540000007</v>
      </c>
      <c r="G30" s="717">
        <v>9352730.0500000007</v>
      </c>
      <c r="H30" s="718">
        <v>8183638.7960000001</v>
      </c>
      <c r="I30" s="719">
        <f t="shared" si="19"/>
        <v>-1169091.2540000007</v>
      </c>
      <c r="J30" s="441"/>
      <c r="K30" s="441"/>
      <c r="L30" s="442">
        <f t="shared" si="20"/>
        <v>0</v>
      </c>
      <c r="M30" s="441"/>
      <c r="N30" s="441"/>
      <c r="O30" s="442">
        <f t="shared" si="21"/>
        <v>0</v>
      </c>
      <c r="P30" s="441"/>
      <c r="Q30" s="443"/>
      <c r="R30" s="504">
        <f t="shared" si="22"/>
        <v>0</v>
      </c>
      <c r="S30" s="441"/>
      <c r="T30" s="443"/>
      <c r="U30" s="504">
        <f t="shared" si="23"/>
        <v>0</v>
      </c>
      <c r="V30" s="441"/>
      <c r="W30" s="443"/>
      <c r="X30" s="504">
        <f t="shared" si="24"/>
        <v>0</v>
      </c>
      <c r="Y30" s="441"/>
      <c r="Z30" s="443"/>
      <c r="AA30" s="504">
        <f t="shared" si="25"/>
        <v>0</v>
      </c>
      <c r="AB30" s="441"/>
      <c r="AC30" s="443"/>
      <c r="AD30" s="504">
        <f t="shared" si="26"/>
        <v>0</v>
      </c>
      <c r="AE30" s="441"/>
      <c r="AF30" s="443"/>
      <c r="AG30" s="504">
        <f t="shared" si="27"/>
        <v>0</v>
      </c>
      <c r="AH30" s="441"/>
      <c r="AI30" s="443"/>
      <c r="AJ30" s="504">
        <f t="shared" si="28"/>
        <v>0</v>
      </c>
      <c r="AK30" s="441"/>
      <c r="AL30" s="443"/>
      <c r="AM30" s="504">
        <f t="shared" si="29"/>
        <v>0</v>
      </c>
      <c r="AN30" s="441"/>
      <c r="AO30" s="443"/>
      <c r="AP30" s="504">
        <f t="shared" si="30"/>
        <v>0</v>
      </c>
      <c r="AQ30" s="441"/>
      <c r="AR30" s="443"/>
      <c r="AS30" s="444">
        <f t="shared" si="31"/>
        <v>0</v>
      </c>
      <c r="AT30" s="409"/>
    </row>
    <row r="31" spans="1:46" x14ac:dyDescent="0.25">
      <c r="A31" s="790"/>
      <c r="B31" s="792"/>
      <c r="C31" s="411" t="s">
        <v>30</v>
      </c>
      <c r="D31" s="714">
        <f t="shared" si="16"/>
        <v>9352730.0500000007</v>
      </c>
      <c r="E31" s="715">
        <f t="shared" si="17"/>
        <v>8183638.7960000001</v>
      </c>
      <c r="F31" s="716">
        <f t="shared" si="18"/>
        <v>-1169091.2540000007</v>
      </c>
      <c r="G31" s="717">
        <v>9352730.0500000007</v>
      </c>
      <c r="H31" s="718">
        <v>8183638.7960000001</v>
      </c>
      <c r="I31" s="719">
        <f t="shared" si="19"/>
        <v>-1169091.2540000007</v>
      </c>
      <c r="J31" s="441"/>
      <c r="K31" s="441"/>
      <c r="L31" s="442">
        <f t="shared" si="20"/>
        <v>0</v>
      </c>
      <c r="M31" s="441"/>
      <c r="N31" s="441"/>
      <c r="O31" s="442">
        <f t="shared" si="21"/>
        <v>0</v>
      </c>
      <c r="P31" s="441"/>
      <c r="Q31" s="443"/>
      <c r="R31" s="504">
        <f t="shared" si="22"/>
        <v>0</v>
      </c>
      <c r="S31" s="441"/>
      <c r="T31" s="443"/>
      <c r="U31" s="504">
        <f t="shared" si="23"/>
        <v>0</v>
      </c>
      <c r="V31" s="441"/>
      <c r="W31" s="443"/>
      <c r="X31" s="504">
        <f t="shared" si="24"/>
        <v>0</v>
      </c>
      <c r="Y31" s="441"/>
      <c r="Z31" s="443"/>
      <c r="AA31" s="504">
        <f t="shared" si="25"/>
        <v>0</v>
      </c>
      <c r="AB31" s="441"/>
      <c r="AC31" s="443"/>
      <c r="AD31" s="504">
        <f t="shared" si="26"/>
        <v>0</v>
      </c>
      <c r="AE31" s="441"/>
      <c r="AF31" s="443"/>
      <c r="AG31" s="504">
        <f t="shared" si="27"/>
        <v>0</v>
      </c>
      <c r="AH31" s="441"/>
      <c r="AI31" s="443"/>
      <c r="AJ31" s="504">
        <f t="shared" si="28"/>
        <v>0</v>
      </c>
      <c r="AK31" s="441"/>
      <c r="AL31" s="443"/>
      <c r="AM31" s="504">
        <f t="shared" si="29"/>
        <v>0</v>
      </c>
      <c r="AN31" s="441"/>
      <c r="AO31" s="443"/>
      <c r="AP31" s="504">
        <f t="shared" si="30"/>
        <v>0</v>
      </c>
      <c r="AQ31" s="441"/>
      <c r="AR31" s="443"/>
      <c r="AS31" s="444">
        <f t="shared" si="31"/>
        <v>0</v>
      </c>
      <c r="AT31" s="409"/>
    </row>
    <row r="32" spans="1:46" x14ac:dyDescent="0.25">
      <c r="A32" s="790"/>
      <c r="B32" s="792"/>
      <c r="C32" s="411" t="s">
        <v>31</v>
      </c>
      <c r="D32" s="714">
        <f t="shared" si="16"/>
        <v>9352730.0500000007</v>
      </c>
      <c r="E32" s="715">
        <f t="shared" si="17"/>
        <v>8183638.7960000001</v>
      </c>
      <c r="F32" s="716">
        <f t="shared" si="18"/>
        <v>-1169091.2540000007</v>
      </c>
      <c r="G32" s="717">
        <v>9352730.0500000007</v>
      </c>
      <c r="H32" s="718">
        <v>8183638.7960000001</v>
      </c>
      <c r="I32" s="719">
        <f t="shared" si="19"/>
        <v>-1169091.2540000007</v>
      </c>
      <c r="J32" s="441"/>
      <c r="K32" s="441"/>
      <c r="L32" s="442">
        <f t="shared" si="20"/>
        <v>0</v>
      </c>
      <c r="M32" s="441"/>
      <c r="N32" s="441"/>
      <c r="O32" s="442">
        <f t="shared" si="21"/>
        <v>0</v>
      </c>
      <c r="P32" s="441"/>
      <c r="Q32" s="443"/>
      <c r="R32" s="504">
        <f t="shared" si="22"/>
        <v>0</v>
      </c>
      <c r="S32" s="441"/>
      <c r="T32" s="443"/>
      <c r="U32" s="504">
        <f t="shared" si="23"/>
        <v>0</v>
      </c>
      <c r="V32" s="441"/>
      <c r="W32" s="443"/>
      <c r="X32" s="504">
        <f t="shared" si="24"/>
        <v>0</v>
      </c>
      <c r="Y32" s="441"/>
      <c r="Z32" s="443"/>
      <c r="AA32" s="504">
        <f t="shared" si="25"/>
        <v>0</v>
      </c>
      <c r="AB32" s="441"/>
      <c r="AC32" s="443"/>
      <c r="AD32" s="504">
        <f t="shared" si="26"/>
        <v>0</v>
      </c>
      <c r="AE32" s="441"/>
      <c r="AF32" s="443"/>
      <c r="AG32" s="504">
        <f t="shared" si="27"/>
        <v>0</v>
      </c>
      <c r="AH32" s="441"/>
      <c r="AI32" s="443"/>
      <c r="AJ32" s="504">
        <f t="shared" si="28"/>
        <v>0</v>
      </c>
      <c r="AK32" s="441"/>
      <c r="AL32" s="443"/>
      <c r="AM32" s="504">
        <f t="shared" si="29"/>
        <v>0</v>
      </c>
      <c r="AN32" s="441"/>
      <c r="AO32" s="443"/>
      <c r="AP32" s="504">
        <f t="shared" si="30"/>
        <v>0</v>
      </c>
      <c r="AQ32" s="441"/>
      <c r="AR32" s="443"/>
      <c r="AS32" s="444">
        <f t="shared" si="31"/>
        <v>0</v>
      </c>
      <c r="AT32" s="409"/>
    </row>
    <row r="33" spans="1:46" x14ac:dyDescent="0.25">
      <c r="A33" s="790"/>
      <c r="B33" s="792"/>
      <c r="C33" s="411" t="s">
        <v>32</v>
      </c>
      <c r="D33" s="714">
        <f t="shared" si="16"/>
        <v>9352730.0500000007</v>
      </c>
      <c r="E33" s="715">
        <f t="shared" si="17"/>
        <v>8183638.7960000001</v>
      </c>
      <c r="F33" s="716">
        <f t="shared" si="18"/>
        <v>-1169091.2540000007</v>
      </c>
      <c r="G33" s="717">
        <v>9352730.0500000007</v>
      </c>
      <c r="H33" s="718">
        <v>8183638.7960000001</v>
      </c>
      <c r="I33" s="719">
        <f t="shared" si="19"/>
        <v>-1169091.2540000007</v>
      </c>
      <c r="J33" s="441"/>
      <c r="K33" s="441"/>
      <c r="L33" s="442">
        <f t="shared" si="20"/>
        <v>0</v>
      </c>
      <c r="M33" s="441"/>
      <c r="N33" s="441"/>
      <c r="O33" s="442">
        <f t="shared" si="21"/>
        <v>0</v>
      </c>
      <c r="P33" s="441"/>
      <c r="Q33" s="443"/>
      <c r="R33" s="504">
        <f t="shared" si="22"/>
        <v>0</v>
      </c>
      <c r="S33" s="441"/>
      <c r="T33" s="443"/>
      <c r="U33" s="504">
        <f t="shared" si="23"/>
        <v>0</v>
      </c>
      <c r="V33" s="441"/>
      <c r="W33" s="443"/>
      <c r="X33" s="504">
        <f t="shared" si="24"/>
        <v>0</v>
      </c>
      <c r="Y33" s="441"/>
      <c r="Z33" s="443"/>
      <c r="AA33" s="504">
        <f t="shared" si="25"/>
        <v>0</v>
      </c>
      <c r="AB33" s="441"/>
      <c r="AC33" s="443"/>
      <c r="AD33" s="504">
        <f t="shared" si="26"/>
        <v>0</v>
      </c>
      <c r="AE33" s="441"/>
      <c r="AF33" s="443"/>
      <c r="AG33" s="504">
        <f t="shared" si="27"/>
        <v>0</v>
      </c>
      <c r="AH33" s="441"/>
      <c r="AI33" s="443"/>
      <c r="AJ33" s="504">
        <f t="shared" si="28"/>
        <v>0</v>
      </c>
      <c r="AK33" s="441"/>
      <c r="AL33" s="443"/>
      <c r="AM33" s="504">
        <f t="shared" si="29"/>
        <v>0</v>
      </c>
      <c r="AN33" s="441"/>
      <c r="AO33" s="443"/>
      <c r="AP33" s="504">
        <f t="shared" si="30"/>
        <v>0</v>
      </c>
      <c r="AQ33" s="441"/>
      <c r="AR33" s="443"/>
      <c r="AS33" s="444">
        <f t="shared" si="31"/>
        <v>0</v>
      </c>
      <c r="AT33" s="409"/>
    </row>
    <row r="34" spans="1:46" x14ac:dyDescent="0.25">
      <c r="A34" s="790"/>
      <c r="B34" s="792"/>
      <c r="C34" s="411" t="s">
        <v>33</v>
      </c>
      <c r="D34" s="714">
        <f t="shared" si="16"/>
        <v>9352730.0500000007</v>
      </c>
      <c r="E34" s="715">
        <f t="shared" si="17"/>
        <v>8183638.7960000001</v>
      </c>
      <c r="F34" s="716">
        <f t="shared" si="18"/>
        <v>-1169091.2540000007</v>
      </c>
      <c r="G34" s="717">
        <v>9352730.0500000007</v>
      </c>
      <c r="H34" s="718">
        <v>8183638.7960000001</v>
      </c>
      <c r="I34" s="719">
        <f t="shared" si="19"/>
        <v>-1169091.2540000007</v>
      </c>
      <c r="J34" s="441"/>
      <c r="K34" s="441"/>
      <c r="L34" s="442">
        <f t="shared" si="20"/>
        <v>0</v>
      </c>
      <c r="M34" s="441"/>
      <c r="N34" s="441"/>
      <c r="O34" s="442">
        <f t="shared" si="21"/>
        <v>0</v>
      </c>
      <c r="P34" s="441"/>
      <c r="Q34" s="443"/>
      <c r="R34" s="504">
        <f t="shared" si="22"/>
        <v>0</v>
      </c>
      <c r="S34" s="441"/>
      <c r="T34" s="443"/>
      <c r="U34" s="504">
        <f t="shared" si="23"/>
        <v>0</v>
      </c>
      <c r="V34" s="441"/>
      <c r="W34" s="443"/>
      <c r="X34" s="504">
        <f t="shared" si="24"/>
        <v>0</v>
      </c>
      <c r="Y34" s="441"/>
      <c r="Z34" s="443"/>
      <c r="AA34" s="504">
        <f t="shared" si="25"/>
        <v>0</v>
      </c>
      <c r="AB34" s="441"/>
      <c r="AC34" s="443"/>
      <c r="AD34" s="504">
        <f t="shared" si="26"/>
        <v>0</v>
      </c>
      <c r="AE34" s="441"/>
      <c r="AF34" s="443"/>
      <c r="AG34" s="504">
        <f t="shared" si="27"/>
        <v>0</v>
      </c>
      <c r="AH34" s="441"/>
      <c r="AI34" s="443"/>
      <c r="AJ34" s="504">
        <f t="shared" si="28"/>
        <v>0</v>
      </c>
      <c r="AK34" s="441"/>
      <c r="AL34" s="443"/>
      <c r="AM34" s="504">
        <f t="shared" si="29"/>
        <v>0</v>
      </c>
      <c r="AN34" s="441"/>
      <c r="AO34" s="443"/>
      <c r="AP34" s="504">
        <f t="shared" si="30"/>
        <v>0</v>
      </c>
      <c r="AQ34" s="441"/>
      <c r="AR34" s="443"/>
      <c r="AS34" s="444">
        <f t="shared" si="31"/>
        <v>0</v>
      </c>
      <c r="AT34" s="409"/>
    </row>
    <row r="35" spans="1:46" ht="15.75" thickBot="1" x14ac:dyDescent="0.3">
      <c r="A35" s="791"/>
      <c r="B35" s="793"/>
      <c r="C35" s="420" t="s">
        <v>34</v>
      </c>
      <c r="D35" s="720">
        <f t="shared" si="16"/>
        <v>9352730.0500000007</v>
      </c>
      <c r="E35" s="721">
        <f t="shared" si="17"/>
        <v>8183638.7960000001</v>
      </c>
      <c r="F35" s="722">
        <f t="shared" si="18"/>
        <v>-1169091.2540000007</v>
      </c>
      <c r="G35" s="723">
        <v>9352730.0500000007</v>
      </c>
      <c r="H35" s="718">
        <v>8183638.7960000001</v>
      </c>
      <c r="I35" s="724">
        <f t="shared" si="19"/>
        <v>-1169091.2540000007</v>
      </c>
      <c r="J35" s="449"/>
      <c r="K35" s="449"/>
      <c r="L35" s="450">
        <f t="shared" si="20"/>
        <v>0</v>
      </c>
      <c r="M35" s="449"/>
      <c r="N35" s="449"/>
      <c r="O35" s="450">
        <f t="shared" si="21"/>
        <v>0</v>
      </c>
      <c r="P35" s="449"/>
      <c r="Q35" s="451"/>
      <c r="R35" s="512">
        <f t="shared" si="22"/>
        <v>0</v>
      </c>
      <c r="S35" s="449"/>
      <c r="T35" s="451"/>
      <c r="U35" s="512">
        <f t="shared" si="23"/>
        <v>0</v>
      </c>
      <c r="V35" s="449"/>
      <c r="W35" s="451"/>
      <c r="X35" s="512">
        <f t="shared" si="24"/>
        <v>0</v>
      </c>
      <c r="Y35" s="449"/>
      <c r="Z35" s="451"/>
      <c r="AA35" s="512">
        <f t="shared" si="25"/>
        <v>0</v>
      </c>
      <c r="AB35" s="449"/>
      <c r="AC35" s="451"/>
      <c r="AD35" s="512">
        <f t="shared" si="26"/>
        <v>0</v>
      </c>
      <c r="AE35" s="449"/>
      <c r="AF35" s="451"/>
      <c r="AG35" s="512">
        <f t="shared" si="27"/>
        <v>0</v>
      </c>
      <c r="AH35" s="449"/>
      <c r="AI35" s="451"/>
      <c r="AJ35" s="512">
        <f t="shared" si="28"/>
        <v>0</v>
      </c>
      <c r="AK35" s="449"/>
      <c r="AL35" s="451"/>
      <c r="AM35" s="512">
        <f t="shared" si="29"/>
        <v>0</v>
      </c>
      <c r="AN35" s="449"/>
      <c r="AO35" s="451"/>
      <c r="AP35" s="512">
        <f t="shared" si="30"/>
        <v>0</v>
      </c>
      <c r="AQ35" s="449"/>
      <c r="AR35" s="451"/>
      <c r="AS35" s="452">
        <f t="shared" si="31"/>
        <v>0</v>
      </c>
      <c r="AT35" s="409"/>
    </row>
    <row r="36" spans="1:46" s="454" customFormat="1" ht="14.25" customHeight="1" x14ac:dyDescent="0.25">
      <c r="A36" s="794" t="s">
        <v>42</v>
      </c>
      <c r="B36" s="795" t="s">
        <v>13</v>
      </c>
      <c r="C36" s="400" t="s">
        <v>25</v>
      </c>
      <c r="D36" s="429"/>
      <c r="E36" s="430"/>
      <c r="F36" s="431"/>
      <c r="G36" s="432"/>
      <c r="H36" s="433"/>
      <c r="I36" s="434">
        <f t="shared" si="19"/>
        <v>0</v>
      </c>
      <c r="J36" s="433"/>
      <c r="K36" s="433"/>
      <c r="L36" s="434">
        <f t="shared" si="20"/>
        <v>0</v>
      </c>
      <c r="M36" s="433"/>
      <c r="N36" s="433"/>
      <c r="O36" s="434">
        <f t="shared" si="21"/>
        <v>0</v>
      </c>
      <c r="P36" s="433"/>
      <c r="Q36" s="435"/>
      <c r="R36" s="499">
        <f t="shared" si="22"/>
        <v>0</v>
      </c>
      <c r="S36" s="433"/>
      <c r="T36" s="435"/>
      <c r="U36" s="499">
        <f t="shared" si="23"/>
        <v>0</v>
      </c>
      <c r="V36" s="433"/>
      <c r="W36" s="435"/>
      <c r="X36" s="499">
        <f t="shared" si="24"/>
        <v>0</v>
      </c>
      <c r="Y36" s="433"/>
      <c r="Z36" s="435"/>
      <c r="AA36" s="499">
        <f t="shared" si="25"/>
        <v>0</v>
      </c>
      <c r="AB36" s="433"/>
      <c r="AC36" s="435"/>
      <c r="AD36" s="499">
        <f t="shared" si="26"/>
        <v>0</v>
      </c>
      <c r="AE36" s="433"/>
      <c r="AF36" s="435"/>
      <c r="AG36" s="499">
        <f t="shared" si="27"/>
        <v>0</v>
      </c>
      <c r="AH36" s="433"/>
      <c r="AI36" s="435"/>
      <c r="AJ36" s="499">
        <f t="shared" si="28"/>
        <v>0</v>
      </c>
      <c r="AK36" s="433"/>
      <c r="AL36" s="435"/>
      <c r="AM36" s="499">
        <f t="shared" si="29"/>
        <v>0</v>
      </c>
      <c r="AN36" s="433"/>
      <c r="AO36" s="435"/>
      <c r="AP36" s="499">
        <f t="shared" si="30"/>
        <v>0</v>
      </c>
      <c r="AQ36" s="433"/>
      <c r="AR36" s="435"/>
      <c r="AS36" s="436">
        <f t="shared" si="31"/>
        <v>0</v>
      </c>
      <c r="AT36" s="453"/>
    </row>
    <row r="37" spans="1:46" s="456" customFormat="1" x14ac:dyDescent="0.25">
      <c r="A37" s="790"/>
      <c r="B37" s="792"/>
      <c r="C37" s="411" t="s">
        <v>26</v>
      </c>
      <c r="D37" s="437"/>
      <c r="E37" s="438"/>
      <c r="F37" s="439"/>
      <c r="G37" s="440"/>
      <c r="H37" s="441"/>
      <c r="I37" s="442">
        <f t="shared" si="19"/>
        <v>0</v>
      </c>
      <c r="J37" s="441"/>
      <c r="K37" s="441"/>
      <c r="L37" s="442">
        <f t="shared" si="20"/>
        <v>0</v>
      </c>
      <c r="M37" s="441"/>
      <c r="N37" s="441"/>
      <c r="O37" s="442">
        <f t="shared" si="21"/>
        <v>0</v>
      </c>
      <c r="P37" s="441"/>
      <c r="Q37" s="443"/>
      <c r="R37" s="504">
        <f t="shared" si="22"/>
        <v>0</v>
      </c>
      <c r="S37" s="441"/>
      <c r="T37" s="443"/>
      <c r="U37" s="504">
        <f t="shared" si="23"/>
        <v>0</v>
      </c>
      <c r="V37" s="441"/>
      <c r="W37" s="443"/>
      <c r="X37" s="504">
        <f t="shared" si="24"/>
        <v>0</v>
      </c>
      <c r="Y37" s="441"/>
      <c r="Z37" s="443"/>
      <c r="AA37" s="504">
        <f t="shared" si="25"/>
        <v>0</v>
      </c>
      <c r="AB37" s="441"/>
      <c r="AC37" s="443"/>
      <c r="AD37" s="504">
        <f t="shared" si="26"/>
        <v>0</v>
      </c>
      <c r="AE37" s="441"/>
      <c r="AF37" s="443"/>
      <c r="AG37" s="504">
        <f t="shared" si="27"/>
        <v>0</v>
      </c>
      <c r="AH37" s="441"/>
      <c r="AI37" s="443"/>
      <c r="AJ37" s="504">
        <f t="shared" si="28"/>
        <v>0</v>
      </c>
      <c r="AK37" s="441"/>
      <c r="AL37" s="443"/>
      <c r="AM37" s="504">
        <f t="shared" si="29"/>
        <v>0</v>
      </c>
      <c r="AN37" s="441"/>
      <c r="AO37" s="443"/>
      <c r="AP37" s="504">
        <f t="shared" si="30"/>
        <v>0</v>
      </c>
      <c r="AQ37" s="441"/>
      <c r="AR37" s="443"/>
      <c r="AS37" s="444">
        <f t="shared" si="31"/>
        <v>0</v>
      </c>
      <c r="AT37" s="455"/>
    </row>
    <row r="38" spans="1:46" s="456" customFormat="1" x14ac:dyDescent="0.25">
      <c r="A38" s="790"/>
      <c r="B38" s="792"/>
      <c r="C38" s="411" t="s">
        <v>27</v>
      </c>
      <c r="D38" s="437"/>
      <c r="E38" s="438"/>
      <c r="F38" s="439"/>
      <c r="G38" s="440"/>
      <c r="H38" s="441"/>
      <c r="I38" s="442">
        <f t="shared" si="19"/>
        <v>0</v>
      </c>
      <c r="J38" s="441"/>
      <c r="K38" s="441"/>
      <c r="L38" s="442">
        <f t="shared" si="20"/>
        <v>0</v>
      </c>
      <c r="M38" s="441"/>
      <c r="N38" s="441"/>
      <c r="O38" s="442">
        <f t="shared" si="21"/>
        <v>0</v>
      </c>
      <c r="P38" s="441"/>
      <c r="Q38" s="443"/>
      <c r="R38" s="504">
        <f t="shared" si="22"/>
        <v>0</v>
      </c>
      <c r="S38" s="441"/>
      <c r="T38" s="443"/>
      <c r="U38" s="504">
        <f t="shared" si="23"/>
        <v>0</v>
      </c>
      <c r="V38" s="441"/>
      <c r="W38" s="443"/>
      <c r="X38" s="504">
        <f t="shared" si="24"/>
        <v>0</v>
      </c>
      <c r="Y38" s="441"/>
      <c r="Z38" s="443"/>
      <c r="AA38" s="504">
        <f t="shared" si="25"/>
        <v>0</v>
      </c>
      <c r="AB38" s="441"/>
      <c r="AC38" s="443"/>
      <c r="AD38" s="504">
        <f t="shared" si="26"/>
        <v>0</v>
      </c>
      <c r="AE38" s="441"/>
      <c r="AF38" s="443"/>
      <c r="AG38" s="504">
        <f t="shared" si="27"/>
        <v>0</v>
      </c>
      <c r="AH38" s="441"/>
      <c r="AI38" s="443"/>
      <c r="AJ38" s="504">
        <f t="shared" si="28"/>
        <v>0</v>
      </c>
      <c r="AK38" s="441"/>
      <c r="AL38" s="443"/>
      <c r="AM38" s="504">
        <f t="shared" si="29"/>
        <v>0</v>
      </c>
      <c r="AN38" s="441"/>
      <c r="AO38" s="443"/>
      <c r="AP38" s="504">
        <f t="shared" si="30"/>
        <v>0</v>
      </c>
      <c r="AQ38" s="441"/>
      <c r="AR38" s="443"/>
      <c r="AS38" s="444">
        <f t="shared" si="31"/>
        <v>0</v>
      </c>
      <c r="AT38" s="455"/>
    </row>
    <row r="39" spans="1:46" s="456" customFormat="1" x14ac:dyDescent="0.25">
      <c r="A39" s="790"/>
      <c r="B39" s="792"/>
      <c r="C39" s="411" t="s">
        <v>28</v>
      </c>
      <c r="D39" s="437"/>
      <c r="E39" s="438"/>
      <c r="F39" s="439"/>
      <c r="G39" s="440"/>
      <c r="H39" s="441"/>
      <c r="I39" s="442">
        <f t="shared" si="19"/>
        <v>0</v>
      </c>
      <c r="J39" s="441"/>
      <c r="K39" s="441"/>
      <c r="L39" s="442">
        <f t="shared" si="20"/>
        <v>0</v>
      </c>
      <c r="M39" s="441"/>
      <c r="N39" s="441"/>
      <c r="O39" s="442">
        <f t="shared" si="21"/>
        <v>0</v>
      </c>
      <c r="P39" s="441"/>
      <c r="Q39" s="443"/>
      <c r="R39" s="504">
        <f t="shared" si="22"/>
        <v>0</v>
      </c>
      <c r="S39" s="441"/>
      <c r="T39" s="443"/>
      <c r="U39" s="504">
        <f t="shared" si="23"/>
        <v>0</v>
      </c>
      <c r="V39" s="441"/>
      <c r="W39" s="443"/>
      <c r="X39" s="504">
        <f t="shared" si="24"/>
        <v>0</v>
      </c>
      <c r="Y39" s="441"/>
      <c r="Z39" s="443"/>
      <c r="AA39" s="504">
        <f t="shared" si="25"/>
        <v>0</v>
      </c>
      <c r="AB39" s="441"/>
      <c r="AC39" s="443"/>
      <c r="AD39" s="504">
        <f t="shared" si="26"/>
        <v>0</v>
      </c>
      <c r="AE39" s="441"/>
      <c r="AF39" s="443"/>
      <c r="AG39" s="504">
        <f t="shared" si="27"/>
        <v>0</v>
      </c>
      <c r="AH39" s="441"/>
      <c r="AI39" s="443"/>
      <c r="AJ39" s="504">
        <f t="shared" si="28"/>
        <v>0</v>
      </c>
      <c r="AK39" s="441"/>
      <c r="AL39" s="443"/>
      <c r="AM39" s="504">
        <f t="shared" si="29"/>
        <v>0</v>
      </c>
      <c r="AN39" s="441"/>
      <c r="AO39" s="443"/>
      <c r="AP39" s="504">
        <f t="shared" si="30"/>
        <v>0</v>
      </c>
      <c r="AQ39" s="441"/>
      <c r="AR39" s="443"/>
      <c r="AS39" s="444">
        <f t="shared" si="31"/>
        <v>0</v>
      </c>
      <c r="AT39" s="455"/>
    </row>
    <row r="40" spans="1:46" s="456" customFormat="1" x14ac:dyDescent="0.25">
      <c r="A40" s="790"/>
      <c r="B40" s="792"/>
      <c r="C40" s="411" t="s">
        <v>29</v>
      </c>
      <c r="D40" s="437"/>
      <c r="E40" s="438"/>
      <c r="F40" s="439"/>
      <c r="G40" s="440"/>
      <c r="H40" s="441"/>
      <c r="I40" s="442">
        <f t="shared" si="19"/>
        <v>0</v>
      </c>
      <c r="J40" s="441"/>
      <c r="K40" s="441"/>
      <c r="L40" s="442">
        <f t="shared" si="20"/>
        <v>0</v>
      </c>
      <c r="M40" s="441"/>
      <c r="N40" s="441"/>
      <c r="O40" s="442">
        <f t="shared" si="21"/>
        <v>0</v>
      </c>
      <c r="P40" s="441"/>
      <c r="Q40" s="443"/>
      <c r="R40" s="504">
        <f t="shared" si="22"/>
        <v>0</v>
      </c>
      <c r="S40" s="441"/>
      <c r="T40" s="443"/>
      <c r="U40" s="504">
        <f t="shared" si="23"/>
        <v>0</v>
      </c>
      <c r="V40" s="441"/>
      <c r="W40" s="443"/>
      <c r="X40" s="504">
        <f t="shared" si="24"/>
        <v>0</v>
      </c>
      <c r="Y40" s="441"/>
      <c r="Z40" s="443"/>
      <c r="AA40" s="504">
        <f t="shared" si="25"/>
        <v>0</v>
      </c>
      <c r="AB40" s="441"/>
      <c r="AC40" s="443"/>
      <c r="AD40" s="504">
        <f t="shared" si="26"/>
        <v>0</v>
      </c>
      <c r="AE40" s="441"/>
      <c r="AF40" s="443"/>
      <c r="AG40" s="504">
        <f t="shared" si="27"/>
        <v>0</v>
      </c>
      <c r="AH40" s="441"/>
      <c r="AI40" s="443"/>
      <c r="AJ40" s="504">
        <f t="shared" si="28"/>
        <v>0</v>
      </c>
      <c r="AK40" s="441"/>
      <c r="AL40" s="443"/>
      <c r="AM40" s="504">
        <f t="shared" si="29"/>
        <v>0</v>
      </c>
      <c r="AN40" s="441"/>
      <c r="AO40" s="443"/>
      <c r="AP40" s="504">
        <f t="shared" si="30"/>
        <v>0</v>
      </c>
      <c r="AQ40" s="441"/>
      <c r="AR40" s="443"/>
      <c r="AS40" s="444">
        <f t="shared" si="31"/>
        <v>0</v>
      </c>
      <c r="AT40" s="455"/>
    </row>
    <row r="41" spans="1:46" s="456" customFormat="1" x14ac:dyDescent="0.25">
      <c r="A41" s="790"/>
      <c r="B41" s="792"/>
      <c r="C41" s="411" t="s">
        <v>30</v>
      </c>
      <c r="D41" s="437"/>
      <c r="E41" s="438"/>
      <c r="F41" s="439"/>
      <c r="G41" s="440"/>
      <c r="H41" s="441"/>
      <c r="I41" s="442">
        <f t="shared" si="19"/>
        <v>0</v>
      </c>
      <c r="J41" s="441"/>
      <c r="K41" s="441"/>
      <c r="L41" s="442">
        <f t="shared" si="20"/>
        <v>0</v>
      </c>
      <c r="M41" s="441"/>
      <c r="N41" s="441"/>
      <c r="O41" s="442">
        <f t="shared" si="21"/>
        <v>0</v>
      </c>
      <c r="P41" s="441"/>
      <c r="Q41" s="443"/>
      <c r="R41" s="504">
        <f t="shared" si="22"/>
        <v>0</v>
      </c>
      <c r="S41" s="441"/>
      <c r="T41" s="443"/>
      <c r="U41" s="504">
        <f t="shared" si="23"/>
        <v>0</v>
      </c>
      <c r="V41" s="441"/>
      <c r="W41" s="443"/>
      <c r="X41" s="504">
        <f t="shared" si="24"/>
        <v>0</v>
      </c>
      <c r="Y41" s="441"/>
      <c r="Z41" s="443"/>
      <c r="AA41" s="504">
        <f t="shared" si="25"/>
        <v>0</v>
      </c>
      <c r="AB41" s="441"/>
      <c r="AC41" s="443"/>
      <c r="AD41" s="504">
        <f t="shared" si="26"/>
        <v>0</v>
      </c>
      <c r="AE41" s="441"/>
      <c r="AF41" s="443"/>
      <c r="AG41" s="504">
        <f t="shared" si="27"/>
        <v>0</v>
      </c>
      <c r="AH41" s="441"/>
      <c r="AI41" s="443"/>
      <c r="AJ41" s="504">
        <f t="shared" si="28"/>
        <v>0</v>
      </c>
      <c r="AK41" s="441"/>
      <c r="AL41" s="443"/>
      <c r="AM41" s="504">
        <f t="shared" si="29"/>
        <v>0</v>
      </c>
      <c r="AN41" s="441"/>
      <c r="AO41" s="443"/>
      <c r="AP41" s="504">
        <f t="shared" si="30"/>
        <v>0</v>
      </c>
      <c r="AQ41" s="441"/>
      <c r="AR41" s="443"/>
      <c r="AS41" s="444">
        <f t="shared" si="31"/>
        <v>0</v>
      </c>
      <c r="AT41" s="455"/>
    </row>
    <row r="42" spans="1:46" s="456" customFormat="1" x14ac:dyDescent="0.25">
      <c r="A42" s="790"/>
      <c r="B42" s="792"/>
      <c r="C42" s="411" t="s">
        <v>31</v>
      </c>
      <c r="D42" s="437"/>
      <c r="E42" s="438"/>
      <c r="F42" s="439"/>
      <c r="G42" s="440"/>
      <c r="H42" s="441"/>
      <c r="I42" s="442">
        <f t="shared" si="19"/>
        <v>0</v>
      </c>
      <c r="J42" s="441"/>
      <c r="K42" s="441"/>
      <c r="L42" s="442">
        <f t="shared" si="20"/>
        <v>0</v>
      </c>
      <c r="M42" s="441"/>
      <c r="N42" s="441"/>
      <c r="O42" s="442">
        <f t="shared" si="21"/>
        <v>0</v>
      </c>
      <c r="P42" s="441"/>
      <c r="Q42" s="443"/>
      <c r="R42" s="504">
        <f t="shared" si="22"/>
        <v>0</v>
      </c>
      <c r="S42" s="441"/>
      <c r="T42" s="443"/>
      <c r="U42" s="504">
        <f t="shared" si="23"/>
        <v>0</v>
      </c>
      <c r="V42" s="441"/>
      <c r="W42" s="443"/>
      <c r="X42" s="504">
        <f t="shared" si="24"/>
        <v>0</v>
      </c>
      <c r="Y42" s="441"/>
      <c r="Z42" s="443"/>
      <c r="AA42" s="504">
        <f t="shared" si="25"/>
        <v>0</v>
      </c>
      <c r="AB42" s="441"/>
      <c r="AC42" s="443"/>
      <c r="AD42" s="504">
        <f t="shared" si="26"/>
        <v>0</v>
      </c>
      <c r="AE42" s="441"/>
      <c r="AF42" s="443"/>
      <c r="AG42" s="504">
        <f t="shared" si="27"/>
        <v>0</v>
      </c>
      <c r="AH42" s="441"/>
      <c r="AI42" s="443"/>
      <c r="AJ42" s="504">
        <f t="shared" si="28"/>
        <v>0</v>
      </c>
      <c r="AK42" s="441"/>
      <c r="AL42" s="443"/>
      <c r="AM42" s="504">
        <f t="shared" si="29"/>
        <v>0</v>
      </c>
      <c r="AN42" s="441"/>
      <c r="AO42" s="443"/>
      <c r="AP42" s="504">
        <f t="shared" si="30"/>
        <v>0</v>
      </c>
      <c r="AQ42" s="441"/>
      <c r="AR42" s="443"/>
      <c r="AS42" s="444">
        <f t="shared" si="31"/>
        <v>0</v>
      </c>
      <c r="AT42" s="455"/>
    </row>
    <row r="43" spans="1:46" s="456" customFormat="1" x14ac:dyDescent="0.25">
      <c r="A43" s="790"/>
      <c r="B43" s="792"/>
      <c r="C43" s="411" t="s">
        <v>32</v>
      </c>
      <c r="D43" s="437"/>
      <c r="E43" s="438"/>
      <c r="F43" s="439"/>
      <c r="G43" s="440"/>
      <c r="H43" s="441"/>
      <c r="I43" s="442">
        <f t="shared" si="19"/>
        <v>0</v>
      </c>
      <c r="J43" s="441"/>
      <c r="K43" s="441"/>
      <c r="L43" s="442">
        <f t="shared" si="20"/>
        <v>0</v>
      </c>
      <c r="M43" s="441"/>
      <c r="N43" s="441"/>
      <c r="O43" s="442">
        <f t="shared" si="21"/>
        <v>0</v>
      </c>
      <c r="P43" s="441"/>
      <c r="Q43" s="443"/>
      <c r="R43" s="504">
        <f t="shared" si="22"/>
        <v>0</v>
      </c>
      <c r="S43" s="441"/>
      <c r="T43" s="443"/>
      <c r="U43" s="504">
        <f t="shared" si="23"/>
        <v>0</v>
      </c>
      <c r="V43" s="441"/>
      <c r="W43" s="443"/>
      <c r="X43" s="504">
        <f t="shared" si="24"/>
        <v>0</v>
      </c>
      <c r="Y43" s="441"/>
      <c r="Z43" s="443"/>
      <c r="AA43" s="504">
        <f t="shared" si="25"/>
        <v>0</v>
      </c>
      <c r="AB43" s="441"/>
      <c r="AC43" s="443"/>
      <c r="AD43" s="504">
        <f t="shared" si="26"/>
        <v>0</v>
      </c>
      <c r="AE43" s="441"/>
      <c r="AF43" s="443"/>
      <c r="AG43" s="504">
        <f t="shared" si="27"/>
        <v>0</v>
      </c>
      <c r="AH43" s="441"/>
      <c r="AI43" s="443"/>
      <c r="AJ43" s="504">
        <f t="shared" si="28"/>
        <v>0</v>
      </c>
      <c r="AK43" s="441"/>
      <c r="AL43" s="443"/>
      <c r="AM43" s="504">
        <f t="shared" si="29"/>
        <v>0</v>
      </c>
      <c r="AN43" s="441"/>
      <c r="AO43" s="443"/>
      <c r="AP43" s="504">
        <f t="shared" si="30"/>
        <v>0</v>
      </c>
      <c r="AQ43" s="441"/>
      <c r="AR43" s="443"/>
      <c r="AS43" s="444">
        <f t="shared" si="31"/>
        <v>0</v>
      </c>
      <c r="AT43" s="455"/>
    </row>
    <row r="44" spans="1:46" s="456" customFormat="1" x14ac:dyDescent="0.25">
      <c r="A44" s="790"/>
      <c r="B44" s="792"/>
      <c r="C44" s="411" t="s">
        <v>33</v>
      </c>
      <c r="D44" s="437"/>
      <c r="E44" s="438"/>
      <c r="F44" s="439"/>
      <c r="G44" s="440"/>
      <c r="H44" s="441"/>
      <c r="I44" s="442">
        <f t="shared" si="19"/>
        <v>0</v>
      </c>
      <c r="J44" s="441"/>
      <c r="K44" s="441"/>
      <c r="L44" s="442">
        <f t="shared" si="20"/>
        <v>0</v>
      </c>
      <c r="M44" s="441"/>
      <c r="N44" s="441"/>
      <c r="O44" s="442">
        <f t="shared" si="21"/>
        <v>0</v>
      </c>
      <c r="P44" s="441"/>
      <c r="Q44" s="443"/>
      <c r="R44" s="504">
        <f t="shared" si="22"/>
        <v>0</v>
      </c>
      <c r="S44" s="441"/>
      <c r="T44" s="443"/>
      <c r="U44" s="504">
        <f t="shared" si="23"/>
        <v>0</v>
      </c>
      <c r="V44" s="441"/>
      <c r="W44" s="443"/>
      <c r="X44" s="504">
        <f t="shared" si="24"/>
        <v>0</v>
      </c>
      <c r="Y44" s="441"/>
      <c r="Z44" s="443"/>
      <c r="AA44" s="504">
        <f t="shared" si="25"/>
        <v>0</v>
      </c>
      <c r="AB44" s="441"/>
      <c r="AC44" s="443"/>
      <c r="AD44" s="504">
        <f t="shared" si="26"/>
        <v>0</v>
      </c>
      <c r="AE44" s="441"/>
      <c r="AF44" s="443"/>
      <c r="AG44" s="504">
        <f t="shared" si="27"/>
        <v>0</v>
      </c>
      <c r="AH44" s="441"/>
      <c r="AI44" s="443"/>
      <c r="AJ44" s="504">
        <f t="shared" si="28"/>
        <v>0</v>
      </c>
      <c r="AK44" s="441"/>
      <c r="AL44" s="443"/>
      <c r="AM44" s="504">
        <f t="shared" si="29"/>
        <v>0</v>
      </c>
      <c r="AN44" s="441"/>
      <c r="AO44" s="443"/>
      <c r="AP44" s="504">
        <f t="shared" si="30"/>
        <v>0</v>
      </c>
      <c r="AQ44" s="441"/>
      <c r="AR44" s="443"/>
      <c r="AS44" s="444">
        <f t="shared" si="31"/>
        <v>0</v>
      </c>
      <c r="AT44" s="455"/>
    </row>
    <row r="45" spans="1:46" s="456" customFormat="1" ht="15.75" thickBot="1" x14ac:dyDescent="0.3">
      <c r="A45" s="791"/>
      <c r="B45" s="793"/>
      <c r="C45" s="420" t="s">
        <v>34</v>
      </c>
      <c r="D45" s="445"/>
      <c r="E45" s="446"/>
      <c r="F45" s="447"/>
      <c r="G45" s="448"/>
      <c r="H45" s="449"/>
      <c r="I45" s="450">
        <f t="shared" si="19"/>
        <v>0</v>
      </c>
      <c r="J45" s="449"/>
      <c r="K45" s="449"/>
      <c r="L45" s="450">
        <f t="shared" si="20"/>
        <v>0</v>
      </c>
      <c r="M45" s="449"/>
      <c r="N45" s="449"/>
      <c r="O45" s="450">
        <f t="shared" si="21"/>
        <v>0</v>
      </c>
      <c r="P45" s="449"/>
      <c r="Q45" s="451"/>
      <c r="R45" s="512">
        <f t="shared" si="22"/>
        <v>0</v>
      </c>
      <c r="S45" s="449"/>
      <c r="T45" s="451"/>
      <c r="U45" s="512">
        <f t="shared" si="23"/>
        <v>0</v>
      </c>
      <c r="V45" s="449"/>
      <c r="W45" s="451"/>
      <c r="X45" s="512">
        <f t="shared" si="24"/>
        <v>0</v>
      </c>
      <c r="Y45" s="449"/>
      <c r="Z45" s="451"/>
      <c r="AA45" s="512">
        <f t="shared" si="25"/>
        <v>0</v>
      </c>
      <c r="AB45" s="449"/>
      <c r="AC45" s="451"/>
      <c r="AD45" s="512">
        <f t="shared" si="26"/>
        <v>0</v>
      </c>
      <c r="AE45" s="449"/>
      <c r="AF45" s="451"/>
      <c r="AG45" s="512">
        <f t="shared" si="27"/>
        <v>0</v>
      </c>
      <c r="AH45" s="449"/>
      <c r="AI45" s="451"/>
      <c r="AJ45" s="512">
        <f t="shared" si="28"/>
        <v>0</v>
      </c>
      <c r="AK45" s="449"/>
      <c r="AL45" s="451"/>
      <c r="AM45" s="512">
        <f t="shared" si="29"/>
        <v>0</v>
      </c>
      <c r="AN45" s="449"/>
      <c r="AO45" s="451"/>
      <c r="AP45" s="512">
        <f t="shared" si="30"/>
        <v>0</v>
      </c>
      <c r="AQ45" s="449"/>
      <c r="AR45" s="451"/>
      <c r="AS45" s="452">
        <f t="shared" si="31"/>
        <v>0</v>
      </c>
      <c r="AT45" s="455"/>
    </row>
    <row r="46" spans="1:46" s="454" customFormat="1" ht="14.45" customHeight="1" x14ac:dyDescent="0.25">
      <c r="A46" s="794" t="s">
        <v>195</v>
      </c>
      <c r="B46" s="795" t="s">
        <v>190</v>
      </c>
      <c r="C46" s="400" t="s">
        <v>25</v>
      </c>
      <c r="D46" s="429"/>
      <c r="E46" s="430"/>
      <c r="F46" s="431"/>
      <c r="G46" s="432">
        <v>0</v>
      </c>
      <c r="H46" s="433">
        <v>0</v>
      </c>
      <c r="I46" s="434">
        <f t="shared" si="19"/>
        <v>0</v>
      </c>
      <c r="J46" s="433">
        <v>0</v>
      </c>
      <c r="K46" s="433">
        <v>0</v>
      </c>
      <c r="L46" s="434">
        <f t="shared" si="20"/>
        <v>0</v>
      </c>
      <c r="M46" s="433">
        <v>0</v>
      </c>
      <c r="N46" s="433">
        <v>0</v>
      </c>
      <c r="O46" s="434">
        <f t="shared" si="21"/>
        <v>0</v>
      </c>
      <c r="P46" s="433"/>
      <c r="Q46" s="435"/>
      <c r="R46" s="499">
        <f t="shared" si="22"/>
        <v>0</v>
      </c>
      <c r="S46" s="433"/>
      <c r="T46" s="435"/>
      <c r="U46" s="499">
        <f t="shared" si="23"/>
        <v>0</v>
      </c>
      <c r="V46" s="433"/>
      <c r="W46" s="435"/>
      <c r="X46" s="499">
        <f t="shared" si="24"/>
        <v>0</v>
      </c>
      <c r="Y46" s="433"/>
      <c r="Z46" s="435"/>
      <c r="AA46" s="499">
        <f t="shared" si="25"/>
        <v>0</v>
      </c>
      <c r="AB46" s="433"/>
      <c r="AC46" s="435"/>
      <c r="AD46" s="499">
        <f t="shared" si="26"/>
        <v>0</v>
      </c>
      <c r="AE46" s="433"/>
      <c r="AF46" s="435"/>
      <c r="AG46" s="499">
        <f t="shared" si="27"/>
        <v>0</v>
      </c>
      <c r="AH46" s="433"/>
      <c r="AI46" s="435"/>
      <c r="AJ46" s="499">
        <f t="shared" si="28"/>
        <v>0</v>
      </c>
      <c r="AK46" s="433"/>
      <c r="AL46" s="435"/>
      <c r="AM46" s="499">
        <f t="shared" si="29"/>
        <v>0</v>
      </c>
      <c r="AN46" s="433"/>
      <c r="AO46" s="435"/>
      <c r="AP46" s="499">
        <f t="shared" si="30"/>
        <v>0</v>
      </c>
      <c r="AQ46" s="433"/>
      <c r="AR46" s="435"/>
      <c r="AS46" s="436">
        <f t="shared" si="31"/>
        <v>0</v>
      </c>
      <c r="AT46" s="453">
        <f>'Analyza citlivosti - AgendovéIS'!N7</f>
        <v>0</v>
      </c>
    </row>
    <row r="47" spans="1:46" s="456" customFormat="1" x14ac:dyDescent="0.25">
      <c r="A47" s="790"/>
      <c r="B47" s="792"/>
      <c r="C47" s="411" t="s">
        <v>26</v>
      </c>
      <c r="D47" s="437"/>
      <c r="E47" s="438"/>
      <c r="F47" s="439"/>
      <c r="G47" s="440">
        <v>0</v>
      </c>
      <c r="H47" s="441">
        <v>0</v>
      </c>
      <c r="I47" s="442">
        <f t="shared" si="19"/>
        <v>0</v>
      </c>
      <c r="J47" s="441">
        <v>0</v>
      </c>
      <c r="K47" s="441">
        <v>0</v>
      </c>
      <c r="L47" s="442">
        <f t="shared" si="20"/>
        <v>0</v>
      </c>
      <c r="M47" s="441">
        <v>0</v>
      </c>
      <c r="N47" s="441">
        <v>0</v>
      </c>
      <c r="O47" s="442">
        <f t="shared" si="21"/>
        <v>0</v>
      </c>
      <c r="P47" s="441"/>
      <c r="Q47" s="443"/>
      <c r="R47" s="504">
        <f t="shared" si="22"/>
        <v>0</v>
      </c>
      <c r="S47" s="441"/>
      <c r="T47" s="443"/>
      <c r="U47" s="504">
        <f t="shared" si="23"/>
        <v>0</v>
      </c>
      <c r="V47" s="441"/>
      <c r="W47" s="443"/>
      <c r="X47" s="504">
        <f t="shared" si="24"/>
        <v>0</v>
      </c>
      <c r="Y47" s="441"/>
      <c r="Z47" s="443"/>
      <c r="AA47" s="504">
        <f t="shared" si="25"/>
        <v>0</v>
      </c>
      <c r="AB47" s="441"/>
      <c r="AC47" s="443"/>
      <c r="AD47" s="504">
        <f t="shared" si="26"/>
        <v>0</v>
      </c>
      <c r="AE47" s="441"/>
      <c r="AF47" s="443"/>
      <c r="AG47" s="504">
        <f t="shared" si="27"/>
        <v>0</v>
      </c>
      <c r="AH47" s="441"/>
      <c r="AI47" s="443"/>
      <c r="AJ47" s="504">
        <f t="shared" si="28"/>
        <v>0</v>
      </c>
      <c r="AK47" s="441"/>
      <c r="AL47" s="443"/>
      <c r="AM47" s="504">
        <f t="shared" si="29"/>
        <v>0</v>
      </c>
      <c r="AN47" s="441"/>
      <c r="AO47" s="443"/>
      <c r="AP47" s="504">
        <f t="shared" si="30"/>
        <v>0</v>
      </c>
      <c r="AQ47" s="441"/>
      <c r="AR47" s="443"/>
      <c r="AS47" s="444">
        <f t="shared" si="31"/>
        <v>0</v>
      </c>
      <c r="AT47" s="455"/>
    </row>
    <row r="48" spans="1:46" s="456" customFormat="1" x14ac:dyDescent="0.25">
      <c r="A48" s="790"/>
      <c r="B48" s="792"/>
      <c r="C48" s="411" t="s">
        <v>27</v>
      </c>
      <c r="D48" s="437"/>
      <c r="E48" s="438"/>
      <c r="F48" s="439"/>
      <c r="G48" s="440">
        <v>0</v>
      </c>
      <c r="H48" s="441">
        <v>0</v>
      </c>
      <c r="I48" s="442">
        <f t="shared" ref="I48:I75" si="32">H48-G48</f>
        <v>0</v>
      </c>
      <c r="J48" s="441">
        <v>0</v>
      </c>
      <c r="K48" s="441">
        <v>0</v>
      </c>
      <c r="L48" s="442">
        <f t="shared" ref="L48:L75" si="33">K48-J48</f>
        <v>0</v>
      </c>
      <c r="M48" s="441">
        <v>0</v>
      </c>
      <c r="N48" s="441">
        <v>0</v>
      </c>
      <c r="O48" s="442">
        <f t="shared" ref="O48:O75" si="34">N48-M48</f>
        <v>0</v>
      </c>
      <c r="P48" s="441"/>
      <c r="Q48" s="443"/>
      <c r="R48" s="504">
        <f t="shared" si="22"/>
        <v>0</v>
      </c>
      <c r="S48" s="441"/>
      <c r="T48" s="443"/>
      <c r="U48" s="504">
        <f t="shared" si="23"/>
        <v>0</v>
      </c>
      <c r="V48" s="441"/>
      <c r="W48" s="443"/>
      <c r="X48" s="504">
        <f t="shared" si="24"/>
        <v>0</v>
      </c>
      <c r="Y48" s="441"/>
      <c r="Z48" s="443"/>
      <c r="AA48" s="504">
        <f t="shared" si="25"/>
        <v>0</v>
      </c>
      <c r="AB48" s="441"/>
      <c r="AC48" s="443"/>
      <c r="AD48" s="504">
        <f t="shared" si="26"/>
        <v>0</v>
      </c>
      <c r="AE48" s="441"/>
      <c r="AF48" s="443"/>
      <c r="AG48" s="504">
        <f t="shared" si="27"/>
        <v>0</v>
      </c>
      <c r="AH48" s="441"/>
      <c r="AI48" s="443"/>
      <c r="AJ48" s="504">
        <f t="shared" si="28"/>
        <v>0</v>
      </c>
      <c r="AK48" s="441"/>
      <c r="AL48" s="443"/>
      <c r="AM48" s="504">
        <f t="shared" si="29"/>
        <v>0</v>
      </c>
      <c r="AN48" s="441"/>
      <c r="AO48" s="443"/>
      <c r="AP48" s="504">
        <f t="shared" si="30"/>
        <v>0</v>
      </c>
      <c r="AQ48" s="441"/>
      <c r="AR48" s="443"/>
      <c r="AS48" s="444">
        <f t="shared" ref="AS48:AS75" si="35">AR48-AQ48</f>
        <v>0</v>
      </c>
      <c r="AT48" s="455"/>
    </row>
    <row r="49" spans="1:46" s="456" customFormat="1" x14ac:dyDescent="0.25">
      <c r="A49" s="790"/>
      <c r="B49" s="792"/>
      <c r="C49" s="411" t="s">
        <v>28</v>
      </c>
      <c r="D49" s="437"/>
      <c r="E49" s="438"/>
      <c r="F49" s="439"/>
      <c r="G49" s="440">
        <v>0</v>
      </c>
      <c r="H49" s="441">
        <v>0</v>
      </c>
      <c r="I49" s="442">
        <f t="shared" si="32"/>
        <v>0</v>
      </c>
      <c r="J49" s="441">
        <v>0</v>
      </c>
      <c r="K49" s="441">
        <v>0</v>
      </c>
      <c r="L49" s="442">
        <f t="shared" si="33"/>
        <v>0</v>
      </c>
      <c r="M49" s="441">
        <v>0</v>
      </c>
      <c r="N49" s="441">
        <v>0</v>
      </c>
      <c r="O49" s="442">
        <f t="shared" si="34"/>
        <v>0</v>
      </c>
      <c r="P49" s="441"/>
      <c r="Q49" s="443"/>
      <c r="R49" s="504">
        <f t="shared" si="22"/>
        <v>0</v>
      </c>
      <c r="S49" s="441"/>
      <c r="T49" s="443"/>
      <c r="U49" s="504">
        <f t="shared" si="23"/>
        <v>0</v>
      </c>
      <c r="V49" s="441"/>
      <c r="W49" s="443"/>
      <c r="X49" s="504">
        <f t="shared" si="24"/>
        <v>0</v>
      </c>
      <c r="Y49" s="441"/>
      <c r="Z49" s="443"/>
      <c r="AA49" s="504">
        <f t="shared" si="25"/>
        <v>0</v>
      </c>
      <c r="AB49" s="441"/>
      <c r="AC49" s="443"/>
      <c r="AD49" s="504">
        <f t="shared" si="26"/>
        <v>0</v>
      </c>
      <c r="AE49" s="441"/>
      <c r="AF49" s="443"/>
      <c r="AG49" s="504">
        <f t="shared" si="27"/>
        <v>0</v>
      </c>
      <c r="AH49" s="441"/>
      <c r="AI49" s="443"/>
      <c r="AJ49" s="504">
        <f t="shared" si="28"/>
        <v>0</v>
      </c>
      <c r="AK49" s="441"/>
      <c r="AL49" s="443"/>
      <c r="AM49" s="504">
        <f t="shared" si="29"/>
        <v>0</v>
      </c>
      <c r="AN49" s="441"/>
      <c r="AO49" s="443"/>
      <c r="AP49" s="504">
        <f t="shared" si="30"/>
        <v>0</v>
      </c>
      <c r="AQ49" s="441"/>
      <c r="AR49" s="443"/>
      <c r="AS49" s="444">
        <f t="shared" si="35"/>
        <v>0</v>
      </c>
      <c r="AT49" s="455"/>
    </row>
    <row r="50" spans="1:46" s="456" customFormat="1" x14ac:dyDescent="0.25">
      <c r="A50" s="790"/>
      <c r="B50" s="792"/>
      <c r="C50" s="411" t="s">
        <v>29</v>
      </c>
      <c r="D50" s="437"/>
      <c r="E50" s="438"/>
      <c r="F50" s="439"/>
      <c r="G50" s="440">
        <v>0</v>
      </c>
      <c r="H50" s="441">
        <v>0</v>
      </c>
      <c r="I50" s="442">
        <f t="shared" si="32"/>
        <v>0</v>
      </c>
      <c r="J50" s="441">
        <v>0</v>
      </c>
      <c r="K50" s="441">
        <v>0</v>
      </c>
      <c r="L50" s="442">
        <f t="shared" si="33"/>
        <v>0</v>
      </c>
      <c r="M50" s="441">
        <v>0</v>
      </c>
      <c r="N50" s="441">
        <v>0</v>
      </c>
      <c r="O50" s="442">
        <f t="shared" si="34"/>
        <v>0</v>
      </c>
      <c r="P50" s="441"/>
      <c r="Q50" s="443"/>
      <c r="R50" s="504">
        <f t="shared" si="22"/>
        <v>0</v>
      </c>
      <c r="S50" s="441"/>
      <c r="T50" s="443"/>
      <c r="U50" s="504">
        <f t="shared" si="23"/>
        <v>0</v>
      </c>
      <c r="V50" s="441"/>
      <c r="W50" s="443"/>
      <c r="X50" s="504">
        <f t="shared" si="24"/>
        <v>0</v>
      </c>
      <c r="Y50" s="441"/>
      <c r="Z50" s="443"/>
      <c r="AA50" s="504">
        <f t="shared" si="25"/>
        <v>0</v>
      </c>
      <c r="AB50" s="441"/>
      <c r="AC50" s="443"/>
      <c r="AD50" s="504">
        <f t="shared" si="26"/>
        <v>0</v>
      </c>
      <c r="AE50" s="441"/>
      <c r="AF50" s="443"/>
      <c r="AG50" s="504">
        <f t="shared" si="27"/>
        <v>0</v>
      </c>
      <c r="AH50" s="441"/>
      <c r="AI50" s="443"/>
      <c r="AJ50" s="504">
        <f t="shared" si="28"/>
        <v>0</v>
      </c>
      <c r="AK50" s="441"/>
      <c r="AL50" s="443"/>
      <c r="AM50" s="504">
        <f t="shared" si="29"/>
        <v>0</v>
      </c>
      <c r="AN50" s="441"/>
      <c r="AO50" s="443"/>
      <c r="AP50" s="504">
        <f t="shared" si="30"/>
        <v>0</v>
      </c>
      <c r="AQ50" s="441"/>
      <c r="AR50" s="443"/>
      <c r="AS50" s="444">
        <f t="shared" si="35"/>
        <v>0</v>
      </c>
      <c r="AT50" s="455"/>
    </row>
    <row r="51" spans="1:46" s="456" customFormat="1" x14ac:dyDescent="0.25">
      <c r="A51" s="790"/>
      <c r="B51" s="792"/>
      <c r="C51" s="411" t="s">
        <v>30</v>
      </c>
      <c r="D51" s="437"/>
      <c r="E51" s="438"/>
      <c r="F51" s="439"/>
      <c r="G51" s="440">
        <v>0</v>
      </c>
      <c r="H51" s="441">
        <v>0</v>
      </c>
      <c r="I51" s="442">
        <f t="shared" si="32"/>
        <v>0</v>
      </c>
      <c r="J51" s="441">
        <v>0</v>
      </c>
      <c r="K51" s="441">
        <v>0</v>
      </c>
      <c r="L51" s="442">
        <f t="shared" si="33"/>
        <v>0</v>
      </c>
      <c r="M51" s="441">
        <v>0</v>
      </c>
      <c r="N51" s="441">
        <v>0</v>
      </c>
      <c r="O51" s="442">
        <f t="shared" si="34"/>
        <v>0</v>
      </c>
      <c r="P51" s="441"/>
      <c r="Q51" s="443"/>
      <c r="R51" s="504">
        <f t="shared" si="22"/>
        <v>0</v>
      </c>
      <c r="S51" s="441"/>
      <c r="T51" s="443"/>
      <c r="U51" s="504">
        <f t="shared" si="23"/>
        <v>0</v>
      </c>
      <c r="V51" s="441"/>
      <c r="W51" s="443"/>
      <c r="X51" s="504">
        <f t="shared" si="24"/>
        <v>0</v>
      </c>
      <c r="Y51" s="441"/>
      <c r="Z51" s="443"/>
      <c r="AA51" s="504">
        <f t="shared" si="25"/>
        <v>0</v>
      </c>
      <c r="AB51" s="441"/>
      <c r="AC51" s="443"/>
      <c r="AD51" s="504">
        <f t="shared" si="26"/>
        <v>0</v>
      </c>
      <c r="AE51" s="441"/>
      <c r="AF51" s="443"/>
      <c r="AG51" s="504">
        <f t="shared" si="27"/>
        <v>0</v>
      </c>
      <c r="AH51" s="441"/>
      <c r="AI51" s="443"/>
      <c r="AJ51" s="504">
        <f t="shared" si="28"/>
        <v>0</v>
      </c>
      <c r="AK51" s="441"/>
      <c r="AL51" s="443"/>
      <c r="AM51" s="504">
        <f t="shared" si="29"/>
        <v>0</v>
      </c>
      <c r="AN51" s="441"/>
      <c r="AO51" s="443"/>
      <c r="AP51" s="504">
        <f t="shared" si="30"/>
        <v>0</v>
      </c>
      <c r="AQ51" s="441"/>
      <c r="AR51" s="443"/>
      <c r="AS51" s="444">
        <f t="shared" si="35"/>
        <v>0</v>
      </c>
      <c r="AT51" s="455"/>
    </row>
    <row r="52" spans="1:46" s="456" customFormat="1" x14ac:dyDescent="0.25">
      <c r="A52" s="790"/>
      <c r="B52" s="792"/>
      <c r="C52" s="411" t="s">
        <v>31</v>
      </c>
      <c r="D52" s="437"/>
      <c r="E52" s="438"/>
      <c r="F52" s="439"/>
      <c r="G52" s="440">
        <v>0</v>
      </c>
      <c r="H52" s="441">
        <v>0</v>
      </c>
      <c r="I52" s="442">
        <f t="shared" si="32"/>
        <v>0</v>
      </c>
      <c r="J52" s="441">
        <v>0</v>
      </c>
      <c r="K52" s="441">
        <v>0</v>
      </c>
      <c r="L52" s="442">
        <f t="shared" si="33"/>
        <v>0</v>
      </c>
      <c r="M52" s="441">
        <v>0</v>
      </c>
      <c r="N52" s="441">
        <v>0</v>
      </c>
      <c r="O52" s="442">
        <f t="shared" si="34"/>
        <v>0</v>
      </c>
      <c r="P52" s="441"/>
      <c r="Q52" s="443"/>
      <c r="R52" s="504">
        <f t="shared" si="22"/>
        <v>0</v>
      </c>
      <c r="S52" s="441"/>
      <c r="T52" s="443"/>
      <c r="U52" s="504">
        <f t="shared" si="23"/>
        <v>0</v>
      </c>
      <c r="V52" s="441"/>
      <c r="W52" s="443"/>
      <c r="X52" s="504">
        <f t="shared" si="24"/>
        <v>0</v>
      </c>
      <c r="Y52" s="441"/>
      <c r="Z52" s="443"/>
      <c r="AA52" s="504">
        <f t="shared" si="25"/>
        <v>0</v>
      </c>
      <c r="AB52" s="441"/>
      <c r="AC52" s="443"/>
      <c r="AD52" s="504">
        <f t="shared" si="26"/>
        <v>0</v>
      </c>
      <c r="AE52" s="441"/>
      <c r="AF52" s="443"/>
      <c r="AG52" s="504">
        <f t="shared" si="27"/>
        <v>0</v>
      </c>
      <c r="AH52" s="441"/>
      <c r="AI52" s="443"/>
      <c r="AJ52" s="504">
        <f t="shared" si="28"/>
        <v>0</v>
      </c>
      <c r="AK52" s="441"/>
      <c r="AL52" s="443"/>
      <c r="AM52" s="504">
        <f t="shared" si="29"/>
        <v>0</v>
      </c>
      <c r="AN52" s="441"/>
      <c r="AO52" s="443"/>
      <c r="AP52" s="504">
        <f t="shared" si="30"/>
        <v>0</v>
      </c>
      <c r="AQ52" s="441"/>
      <c r="AR52" s="443"/>
      <c r="AS52" s="444">
        <f t="shared" si="35"/>
        <v>0</v>
      </c>
      <c r="AT52" s="455"/>
    </row>
    <row r="53" spans="1:46" s="456" customFormat="1" x14ac:dyDescent="0.25">
      <c r="A53" s="790"/>
      <c r="B53" s="792"/>
      <c r="C53" s="411" t="s">
        <v>32</v>
      </c>
      <c r="D53" s="437"/>
      <c r="E53" s="438"/>
      <c r="F53" s="439"/>
      <c r="G53" s="440">
        <v>0</v>
      </c>
      <c r="H53" s="441">
        <v>0</v>
      </c>
      <c r="I53" s="442">
        <f t="shared" si="32"/>
        <v>0</v>
      </c>
      <c r="J53" s="441">
        <v>0</v>
      </c>
      <c r="K53" s="441">
        <v>0</v>
      </c>
      <c r="L53" s="442">
        <f t="shared" si="33"/>
        <v>0</v>
      </c>
      <c r="M53" s="441">
        <v>0</v>
      </c>
      <c r="N53" s="441">
        <v>0</v>
      </c>
      <c r="O53" s="442">
        <f t="shared" si="34"/>
        <v>0</v>
      </c>
      <c r="P53" s="441"/>
      <c r="Q53" s="443"/>
      <c r="R53" s="504">
        <f t="shared" si="22"/>
        <v>0</v>
      </c>
      <c r="S53" s="441"/>
      <c r="T53" s="443"/>
      <c r="U53" s="504">
        <f t="shared" si="23"/>
        <v>0</v>
      </c>
      <c r="V53" s="441"/>
      <c r="W53" s="443"/>
      <c r="X53" s="504">
        <f t="shared" si="24"/>
        <v>0</v>
      </c>
      <c r="Y53" s="441"/>
      <c r="Z53" s="443"/>
      <c r="AA53" s="504">
        <f t="shared" si="25"/>
        <v>0</v>
      </c>
      <c r="AB53" s="441"/>
      <c r="AC53" s="443"/>
      <c r="AD53" s="504">
        <f t="shared" si="26"/>
        <v>0</v>
      </c>
      <c r="AE53" s="441"/>
      <c r="AF53" s="443"/>
      <c r="AG53" s="504">
        <f t="shared" si="27"/>
        <v>0</v>
      </c>
      <c r="AH53" s="441"/>
      <c r="AI53" s="443"/>
      <c r="AJ53" s="504">
        <f t="shared" si="28"/>
        <v>0</v>
      </c>
      <c r="AK53" s="441"/>
      <c r="AL53" s="443"/>
      <c r="AM53" s="504">
        <f t="shared" si="29"/>
        <v>0</v>
      </c>
      <c r="AN53" s="441"/>
      <c r="AO53" s="443"/>
      <c r="AP53" s="504">
        <f t="shared" si="30"/>
        <v>0</v>
      </c>
      <c r="AQ53" s="441"/>
      <c r="AR53" s="443"/>
      <c r="AS53" s="444">
        <f t="shared" si="35"/>
        <v>0</v>
      </c>
      <c r="AT53" s="455"/>
    </row>
    <row r="54" spans="1:46" s="456" customFormat="1" x14ac:dyDescent="0.25">
      <c r="A54" s="790"/>
      <c r="B54" s="792"/>
      <c r="C54" s="411" t="s">
        <v>33</v>
      </c>
      <c r="D54" s="437"/>
      <c r="E54" s="438"/>
      <c r="F54" s="439"/>
      <c r="G54" s="440">
        <v>0</v>
      </c>
      <c r="H54" s="441">
        <v>0</v>
      </c>
      <c r="I54" s="442">
        <f t="shared" si="32"/>
        <v>0</v>
      </c>
      <c r="J54" s="441">
        <v>0</v>
      </c>
      <c r="K54" s="441">
        <v>0</v>
      </c>
      <c r="L54" s="442">
        <f t="shared" si="33"/>
        <v>0</v>
      </c>
      <c r="M54" s="441">
        <v>0</v>
      </c>
      <c r="N54" s="441">
        <v>0</v>
      </c>
      <c r="O54" s="442">
        <f t="shared" si="34"/>
        <v>0</v>
      </c>
      <c r="P54" s="441"/>
      <c r="Q54" s="443"/>
      <c r="R54" s="504">
        <f t="shared" si="22"/>
        <v>0</v>
      </c>
      <c r="S54" s="441"/>
      <c r="T54" s="443"/>
      <c r="U54" s="504">
        <f t="shared" si="23"/>
        <v>0</v>
      </c>
      <c r="V54" s="441"/>
      <c r="W54" s="443"/>
      <c r="X54" s="504">
        <f t="shared" si="24"/>
        <v>0</v>
      </c>
      <c r="Y54" s="441"/>
      <c r="Z54" s="443"/>
      <c r="AA54" s="504">
        <f t="shared" si="25"/>
        <v>0</v>
      </c>
      <c r="AB54" s="441"/>
      <c r="AC54" s="443"/>
      <c r="AD54" s="504">
        <f t="shared" si="26"/>
        <v>0</v>
      </c>
      <c r="AE54" s="441"/>
      <c r="AF54" s="443"/>
      <c r="AG54" s="504">
        <f t="shared" si="27"/>
        <v>0</v>
      </c>
      <c r="AH54" s="441"/>
      <c r="AI54" s="443"/>
      <c r="AJ54" s="504">
        <f t="shared" si="28"/>
        <v>0</v>
      </c>
      <c r="AK54" s="441"/>
      <c r="AL54" s="443"/>
      <c r="AM54" s="504">
        <f t="shared" si="29"/>
        <v>0</v>
      </c>
      <c r="AN54" s="441"/>
      <c r="AO54" s="443"/>
      <c r="AP54" s="504">
        <f t="shared" si="30"/>
        <v>0</v>
      </c>
      <c r="AQ54" s="441"/>
      <c r="AR54" s="443"/>
      <c r="AS54" s="444">
        <f t="shared" si="35"/>
        <v>0</v>
      </c>
      <c r="AT54" s="455"/>
    </row>
    <row r="55" spans="1:46" s="456" customFormat="1" ht="15.75" thickBot="1" x14ac:dyDescent="0.3">
      <c r="A55" s="791"/>
      <c r="B55" s="793"/>
      <c r="C55" s="420" t="s">
        <v>34</v>
      </c>
      <c r="D55" s="445"/>
      <c r="E55" s="446"/>
      <c r="F55" s="447"/>
      <c r="G55" s="448">
        <v>0</v>
      </c>
      <c r="H55" s="449">
        <v>0</v>
      </c>
      <c r="I55" s="450">
        <f t="shared" si="32"/>
        <v>0</v>
      </c>
      <c r="J55" s="449">
        <v>0</v>
      </c>
      <c r="K55" s="449">
        <v>0</v>
      </c>
      <c r="L55" s="450">
        <f t="shared" si="33"/>
        <v>0</v>
      </c>
      <c r="M55" s="449">
        <v>0</v>
      </c>
      <c r="N55" s="449">
        <v>0</v>
      </c>
      <c r="O55" s="450">
        <f t="shared" si="34"/>
        <v>0</v>
      </c>
      <c r="P55" s="449"/>
      <c r="Q55" s="451"/>
      <c r="R55" s="512">
        <f t="shared" si="22"/>
        <v>0</v>
      </c>
      <c r="S55" s="449"/>
      <c r="T55" s="451"/>
      <c r="U55" s="512">
        <f t="shared" si="23"/>
        <v>0</v>
      </c>
      <c r="V55" s="449"/>
      <c r="W55" s="451"/>
      <c r="X55" s="512">
        <f t="shared" si="24"/>
        <v>0</v>
      </c>
      <c r="Y55" s="449"/>
      <c r="Z55" s="451"/>
      <c r="AA55" s="512">
        <f t="shared" si="25"/>
        <v>0</v>
      </c>
      <c r="AB55" s="449"/>
      <c r="AC55" s="451"/>
      <c r="AD55" s="512">
        <f t="shared" si="26"/>
        <v>0</v>
      </c>
      <c r="AE55" s="449"/>
      <c r="AF55" s="451"/>
      <c r="AG55" s="512">
        <f t="shared" si="27"/>
        <v>0</v>
      </c>
      <c r="AH55" s="449"/>
      <c r="AI55" s="451"/>
      <c r="AJ55" s="512">
        <f t="shared" si="28"/>
        <v>0</v>
      </c>
      <c r="AK55" s="449"/>
      <c r="AL55" s="451"/>
      <c r="AM55" s="512">
        <f t="shared" si="29"/>
        <v>0</v>
      </c>
      <c r="AN55" s="449"/>
      <c r="AO55" s="451"/>
      <c r="AP55" s="512">
        <f t="shared" si="30"/>
        <v>0</v>
      </c>
      <c r="AQ55" s="449"/>
      <c r="AR55" s="451"/>
      <c r="AS55" s="452">
        <f t="shared" si="35"/>
        <v>0</v>
      </c>
      <c r="AT55" s="455"/>
    </row>
    <row r="56" spans="1:46" s="454" customFormat="1" ht="14.45" customHeight="1" x14ac:dyDescent="0.25">
      <c r="A56" s="794" t="s">
        <v>194</v>
      </c>
      <c r="B56" s="795" t="s">
        <v>38</v>
      </c>
      <c r="C56" s="400" t="s">
        <v>25</v>
      </c>
      <c r="D56" s="429">
        <f t="shared" ref="D56:D65" si="36">SUM(G56,J56,M56,AQ56)</f>
        <v>0</v>
      </c>
      <c r="E56" s="430">
        <f t="shared" ref="E56:E65" si="37">SUM(H56,K56,N56,AR56)</f>
        <v>0</v>
      </c>
      <c r="F56" s="431">
        <f t="shared" ref="F56:F65" si="38">D56-E56</f>
        <v>0</v>
      </c>
      <c r="G56" s="432"/>
      <c r="H56" s="433"/>
      <c r="I56" s="434">
        <f t="shared" si="32"/>
        <v>0</v>
      </c>
      <c r="J56" s="433"/>
      <c r="K56" s="433"/>
      <c r="L56" s="434">
        <f t="shared" si="33"/>
        <v>0</v>
      </c>
      <c r="M56" s="433"/>
      <c r="N56" s="433"/>
      <c r="O56" s="434">
        <f t="shared" si="34"/>
        <v>0</v>
      </c>
      <c r="P56" s="433">
        <v>0</v>
      </c>
      <c r="Q56" s="435">
        <v>0</v>
      </c>
      <c r="R56" s="499">
        <f t="shared" si="22"/>
        <v>0</v>
      </c>
      <c r="S56" s="433">
        <v>0</v>
      </c>
      <c r="T56" s="435">
        <v>0</v>
      </c>
      <c r="U56" s="499">
        <f t="shared" si="23"/>
        <v>0</v>
      </c>
      <c r="V56" s="433">
        <v>0</v>
      </c>
      <c r="W56" s="435">
        <v>0</v>
      </c>
      <c r="X56" s="499">
        <f t="shared" si="24"/>
        <v>0</v>
      </c>
      <c r="Y56" s="433">
        <v>0</v>
      </c>
      <c r="Z56" s="435">
        <v>0</v>
      </c>
      <c r="AA56" s="499">
        <f t="shared" si="25"/>
        <v>0</v>
      </c>
      <c r="AB56" s="433">
        <v>0</v>
      </c>
      <c r="AC56" s="435">
        <v>0</v>
      </c>
      <c r="AD56" s="499">
        <f t="shared" si="26"/>
        <v>0</v>
      </c>
      <c r="AE56" s="433">
        <v>0</v>
      </c>
      <c r="AF56" s="435">
        <v>0</v>
      </c>
      <c r="AG56" s="499">
        <f t="shared" si="27"/>
        <v>0</v>
      </c>
      <c r="AH56" s="433">
        <v>0</v>
      </c>
      <c r="AI56" s="435">
        <v>0</v>
      </c>
      <c r="AJ56" s="499">
        <f t="shared" si="28"/>
        <v>0</v>
      </c>
      <c r="AK56" s="433">
        <v>0</v>
      </c>
      <c r="AL56" s="435">
        <v>0</v>
      </c>
      <c r="AM56" s="499">
        <f t="shared" si="29"/>
        <v>0</v>
      </c>
      <c r="AN56" s="433">
        <v>0</v>
      </c>
      <c r="AO56" s="435">
        <v>0</v>
      </c>
      <c r="AP56" s="499">
        <f t="shared" si="30"/>
        <v>0</v>
      </c>
      <c r="AQ56" s="433">
        <v>0</v>
      </c>
      <c r="AR56" s="435">
        <v>0</v>
      </c>
      <c r="AS56" s="436">
        <f t="shared" si="35"/>
        <v>0</v>
      </c>
      <c r="AT56" s="453">
        <f>'Analyza citlivosti - AgendovéIS'!Q7</f>
        <v>0</v>
      </c>
    </row>
    <row r="57" spans="1:46" s="456" customFormat="1" x14ac:dyDescent="0.25">
      <c r="A57" s="790"/>
      <c r="B57" s="792"/>
      <c r="C57" s="411" t="s">
        <v>26</v>
      </c>
      <c r="D57" s="437">
        <f t="shared" si="36"/>
        <v>0</v>
      </c>
      <c r="E57" s="438">
        <f t="shared" si="37"/>
        <v>0</v>
      </c>
      <c r="F57" s="439">
        <f t="shared" si="38"/>
        <v>0</v>
      </c>
      <c r="G57" s="440"/>
      <c r="H57" s="441"/>
      <c r="I57" s="442">
        <f t="shared" si="32"/>
        <v>0</v>
      </c>
      <c r="J57" s="441"/>
      <c r="K57" s="441"/>
      <c r="L57" s="442">
        <f t="shared" si="33"/>
        <v>0</v>
      </c>
      <c r="M57" s="441"/>
      <c r="N57" s="441"/>
      <c r="O57" s="442">
        <f t="shared" si="34"/>
        <v>0</v>
      </c>
      <c r="P57" s="441">
        <v>0</v>
      </c>
      <c r="Q57" s="443">
        <v>0</v>
      </c>
      <c r="R57" s="504">
        <f t="shared" si="22"/>
        <v>0</v>
      </c>
      <c r="S57" s="441">
        <v>0</v>
      </c>
      <c r="T57" s="443">
        <v>0</v>
      </c>
      <c r="U57" s="504">
        <f t="shared" si="23"/>
        <v>0</v>
      </c>
      <c r="V57" s="441">
        <v>0</v>
      </c>
      <c r="W57" s="443">
        <v>0</v>
      </c>
      <c r="X57" s="504">
        <f t="shared" si="24"/>
        <v>0</v>
      </c>
      <c r="Y57" s="441">
        <v>0</v>
      </c>
      <c r="Z57" s="443">
        <v>0</v>
      </c>
      <c r="AA57" s="504">
        <f t="shared" si="25"/>
        <v>0</v>
      </c>
      <c r="AB57" s="441">
        <v>0</v>
      </c>
      <c r="AC57" s="443">
        <v>0</v>
      </c>
      <c r="AD57" s="504">
        <f t="shared" si="26"/>
        <v>0</v>
      </c>
      <c r="AE57" s="441">
        <v>0</v>
      </c>
      <c r="AF57" s="443">
        <v>0</v>
      </c>
      <c r="AG57" s="504">
        <f t="shared" si="27"/>
        <v>0</v>
      </c>
      <c r="AH57" s="441">
        <v>0</v>
      </c>
      <c r="AI57" s="443">
        <v>0</v>
      </c>
      <c r="AJ57" s="504">
        <f t="shared" si="28"/>
        <v>0</v>
      </c>
      <c r="AK57" s="441">
        <v>0</v>
      </c>
      <c r="AL57" s="443">
        <v>0</v>
      </c>
      <c r="AM57" s="504">
        <f t="shared" si="29"/>
        <v>0</v>
      </c>
      <c r="AN57" s="441">
        <v>0</v>
      </c>
      <c r="AO57" s="443">
        <v>0</v>
      </c>
      <c r="AP57" s="504">
        <f t="shared" si="30"/>
        <v>0</v>
      </c>
      <c r="AQ57" s="441">
        <v>0</v>
      </c>
      <c r="AR57" s="443">
        <v>0</v>
      </c>
      <c r="AS57" s="444">
        <f t="shared" si="35"/>
        <v>0</v>
      </c>
      <c r="AT57" s="455"/>
    </row>
    <row r="58" spans="1:46" s="456" customFormat="1" x14ac:dyDescent="0.25">
      <c r="A58" s="790"/>
      <c r="B58" s="792"/>
      <c r="C58" s="411" t="s">
        <v>27</v>
      </c>
      <c r="D58" s="437">
        <f t="shared" si="36"/>
        <v>24000</v>
      </c>
      <c r="E58" s="438">
        <f t="shared" si="37"/>
        <v>22400</v>
      </c>
      <c r="F58" s="439">
        <f t="shared" si="38"/>
        <v>1600</v>
      </c>
      <c r="G58" s="440">
        <v>24000</v>
      </c>
      <c r="H58" s="441">
        <f>200*14*8</f>
        <v>22400</v>
      </c>
      <c r="I58" s="442">
        <f t="shared" si="32"/>
        <v>-1600</v>
      </c>
      <c r="J58" s="441"/>
      <c r="K58" s="441"/>
      <c r="L58" s="442">
        <f t="shared" si="33"/>
        <v>0</v>
      </c>
      <c r="M58" s="441"/>
      <c r="N58" s="441"/>
      <c r="O58" s="442">
        <f t="shared" si="34"/>
        <v>0</v>
      </c>
      <c r="P58" s="441">
        <v>0</v>
      </c>
      <c r="Q58" s="443">
        <v>0</v>
      </c>
      <c r="R58" s="504">
        <f t="shared" si="22"/>
        <v>0</v>
      </c>
      <c r="S58" s="441">
        <v>0</v>
      </c>
      <c r="T58" s="443">
        <v>0</v>
      </c>
      <c r="U58" s="504">
        <f t="shared" si="23"/>
        <v>0</v>
      </c>
      <c r="V58" s="441">
        <v>0</v>
      </c>
      <c r="W58" s="443">
        <v>0</v>
      </c>
      <c r="X58" s="504">
        <f t="shared" si="24"/>
        <v>0</v>
      </c>
      <c r="Y58" s="441">
        <v>0</v>
      </c>
      <c r="Z58" s="443">
        <v>0</v>
      </c>
      <c r="AA58" s="504">
        <f t="shared" si="25"/>
        <v>0</v>
      </c>
      <c r="AB58" s="441">
        <v>0</v>
      </c>
      <c r="AC58" s="443">
        <v>0</v>
      </c>
      <c r="AD58" s="504">
        <f t="shared" si="26"/>
        <v>0</v>
      </c>
      <c r="AE58" s="441">
        <v>0</v>
      </c>
      <c r="AF58" s="443">
        <v>0</v>
      </c>
      <c r="AG58" s="504">
        <f t="shared" si="27"/>
        <v>0</v>
      </c>
      <c r="AH58" s="441">
        <v>0</v>
      </c>
      <c r="AI58" s="443">
        <v>0</v>
      </c>
      <c r="AJ58" s="504">
        <f t="shared" si="28"/>
        <v>0</v>
      </c>
      <c r="AK58" s="441">
        <v>0</v>
      </c>
      <c r="AL58" s="443">
        <v>0</v>
      </c>
      <c r="AM58" s="504">
        <f t="shared" si="29"/>
        <v>0</v>
      </c>
      <c r="AN58" s="441">
        <v>0</v>
      </c>
      <c r="AO58" s="443">
        <v>0</v>
      </c>
      <c r="AP58" s="504">
        <f t="shared" si="30"/>
        <v>0</v>
      </c>
      <c r="AQ58" s="441">
        <v>0</v>
      </c>
      <c r="AR58" s="443">
        <v>0</v>
      </c>
      <c r="AS58" s="444">
        <f t="shared" si="35"/>
        <v>0</v>
      </c>
      <c r="AT58" s="455"/>
    </row>
    <row r="59" spans="1:46" s="456" customFormat="1" x14ac:dyDescent="0.25">
      <c r="A59" s="790"/>
      <c r="B59" s="792"/>
      <c r="C59" s="411" t="s">
        <v>28</v>
      </c>
      <c r="D59" s="437">
        <f t="shared" si="36"/>
        <v>48000</v>
      </c>
      <c r="E59" s="438">
        <f t="shared" si="37"/>
        <v>44800</v>
      </c>
      <c r="F59" s="439">
        <f t="shared" si="38"/>
        <v>3200</v>
      </c>
      <c r="G59" s="440">
        <f t="shared" ref="G59:G65" si="39">200*30*8</f>
        <v>48000</v>
      </c>
      <c r="H59" s="441">
        <f>200*28*8</f>
        <v>44800</v>
      </c>
      <c r="I59" s="442">
        <f t="shared" si="32"/>
        <v>-3200</v>
      </c>
      <c r="J59" s="441"/>
      <c r="K59" s="441"/>
      <c r="L59" s="442">
        <f t="shared" si="33"/>
        <v>0</v>
      </c>
      <c r="M59" s="441"/>
      <c r="N59" s="441"/>
      <c r="O59" s="442">
        <f t="shared" si="34"/>
        <v>0</v>
      </c>
      <c r="P59" s="441">
        <v>0</v>
      </c>
      <c r="Q59" s="443">
        <v>0</v>
      </c>
      <c r="R59" s="504">
        <f t="shared" si="22"/>
        <v>0</v>
      </c>
      <c r="S59" s="441">
        <v>0</v>
      </c>
      <c r="T59" s="443">
        <v>0</v>
      </c>
      <c r="U59" s="504">
        <f t="shared" si="23"/>
        <v>0</v>
      </c>
      <c r="V59" s="441">
        <v>0</v>
      </c>
      <c r="W59" s="443">
        <v>0</v>
      </c>
      <c r="X59" s="504">
        <f t="shared" si="24"/>
        <v>0</v>
      </c>
      <c r="Y59" s="441">
        <v>0</v>
      </c>
      <c r="Z59" s="443">
        <v>0</v>
      </c>
      <c r="AA59" s="504">
        <f t="shared" si="25"/>
        <v>0</v>
      </c>
      <c r="AB59" s="441">
        <v>0</v>
      </c>
      <c r="AC59" s="443">
        <v>0</v>
      </c>
      <c r="AD59" s="504">
        <f t="shared" si="26"/>
        <v>0</v>
      </c>
      <c r="AE59" s="441">
        <v>0</v>
      </c>
      <c r="AF59" s="443">
        <v>0</v>
      </c>
      <c r="AG59" s="504">
        <f t="shared" si="27"/>
        <v>0</v>
      </c>
      <c r="AH59" s="441">
        <v>0</v>
      </c>
      <c r="AI59" s="443">
        <v>0</v>
      </c>
      <c r="AJ59" s="504">
        <f t="shared" si="28"/>
        <v>0</v>
      </c>
      <c r="AK59" s="441">
        <v>0</v>
      </c>
      <c r="AL59" s="443">
        <v>0</v>
      </c>
      <c r="AM59" s="504">
        <f t="shared" si="29"/>
        <v>0</v>
      </c>
      <c r="AN59" s="441">
        <v>0</v>
      </c>
      <c r="AO59" s="443">
        <v>0</v>
      </c>
      <c r="AP59" s="504">
        <f t="shared" si="30"/>
        <v>0</v>
      </c>
      <c r="AQ59" s="441">
        <v>0</v>
      </c>
      <c r="AR59" s="443">
        <v>0</v>
      </c>
      <c r="AS59" s="444">
        <f t="shared" si="35"/>
        <v>0</v>
      </c>
      <c r="AT59" s="455"/>
    </row>
    <row r="60" spans="1:46" s="456" customFormat="1" x14ac:dyDescent="0.25">
      <c r="A60" s="790"/>
      <c r="B60" s="792"/>
      <c r="C60" s="411" t="s">
        <v>29</v>
      </c>
      <c r="D60" s="437">
        <f t="shared" si="36"/>
        <v>48000</v>
      </c>
      <c r="E60" s="438">
        <f t="shared" si="37"/>
        <v>44800</v>
      </c>
      <c r="F60" s="439">
        <f t="shared" si="38"/>
        <v>3200</v>
      </c>
      <c r="G60" s="440">
        <f t="shared" si="39"/>
        <v>48000</v>
      </c>
      <c r="H60" s="441">
        <f t="shared" ref="H60:H65" si="40">200*28*8</f>
        <v>44800</v>
      </c>
      <c r="I60" s="442">
        <f t="shared" si="32"/>
        <v>-3200</v>
      </c>
      <c r="J60" s="441"/>
      <c r="K60" s="441"/>
      <c r="L60" s="442">
        <f t="shared" si="33"/>
        <v>0</v>
      </c>
      <c r="M60" s="441"/>
      <c r="N60" s="441"/>
      <c r="O60" s="442">
        <f t="shared" si="34"/>
        <v>0</v>
      </c>
      <c r="P60" s="441">
        <v>0</v>
      </c>
      <c r="Q60" s="443">
        <v>0</v>
      </c>
      <c r="R60" s="504">
        <f t="shared" si="22"/>
        <v>0</v>
      </c>
      <c r="S60" s="441">
        <v>0</v>
      </c>
      <c r="T60" s="443">
        <v>0</v>
      </c>
      <c r="U60" s="504">
        <f t="shared" si="23"/>
        <v>0</v>
      </c>
      <c r="V60" s="441">
        <v>0</v>
      </c>
      <c r="W60" s="443">
        <v>0</v>
      </c>
      <c r="X60" s="504">
        <f t="shared" si="24"/>
        <v>0</v>
      </c>
      <c r="Y60" s="441">
        <v>0</v>
      </c>
      <c r="Z60" s="443">
        <v>0</v>
      </c>
      <c r="AA60" s="504">
        <f t="shared" si="25"/>
        <v>0</v>
      </c>
      <c r="AB60" s="441">
        <v>0</v>
      </c>
      <c r="AC60" s="443">
        <v>0</v>
      </c>
      <c r="AD60" s="504">
        <f t="shared" si="26"/>
        <v>0</v>
      </c>
      <c r="AE60" s="441">
        <v>0</v>
      </c>
      <c r="AF60" s="443">
        <v>0</v>
      </c>
      <c r="AG60" s="504">
        <f t="shared" si="27"/>
        <v>0</v>
      </c>
      <c r="AH60" s="441">
        <v>0</v>
      </c>
      <c r="AI60" s="443">
        <v>0</v>
      </c>
      <c r="AJ60" s="504">
        <f t="shared" si="28"/>
        <v>0</v>
      </c>
      <c r="AK60" s="441">
        <v>0</v>
      </c>
      <c r="AL60" s="443">
        <v>0</v>
      </c>
      <c r="AM60" s="504">
        <f t="shared" si="29"/>
        <v>0</v>
      </c>
      <c r="AN60" s="441">
        <v>0</v>
      </c>
      <c r="AO60" s="443">
        <v>0</v>
      </c>
      <c r="AP60" s="504">
        <f t="shared" si="30"/>
        <v>0</v>
      </c>
      <c r="AQ60" s="441">
        <v>0</v>
      </c>
      <c r="AR60" s="443">
        <v>0</v>
      </c>
      <c r="AS60" s="444">
        <f t="shared" si="35"/>
        <v>0</v>
      </c>
      <c r="AT60" s="455"/>
    </row>
    <row r="61" spans="1:46" s="456" customFormat="1" x14ac:dyDescent="0.25">
      <c r="A61" s="790"/>
      <c r="B61" s="792"/>
      <c r="C61" s="411" t="s">
        <v>30</v>
      </c>
      <c r="D61" s="437">
        <f t="shared" si="36"/>
        <v>48000</v>
      </c>
      <c r="E61" s="438">
        <f t="shared" si="37"/>
        <v>44800</v>
      </c>
      <c r="F61" s="439">
        <f t="shared" si="38"/>
        <v>3200</v>
      </c>
      <c r="G61" s="440">
        <f t="shared" si="39"/>
        <v>48000</v>
      </c>
      <c r="H61" s="441">
        <f t="shared" si="40"/>
        <v>44800</v>
      </c>
      <c r="I61" s="442">
        <f t="shared" si="32"/>
        <v>-3200</v>
      </c>
      <c r="J61" s="441"/>
      <c r="K61" s="441"/>
      <c r="L61" s="442">
        <f t="shared" si="33"/>
        <v>0</v>
      </c>
      <c r="M61" s="441"/>
      <c r="N61" s="441"/>
      <c r="O61" s="442">
        <f t="shared" si="34"/>
        <v>0</v>
      </c>
      <c r="P61" s="441">
        <v>0</v>
      </c>
      <c r="Q61" s="443">
        <v>0</v>
      </c>
      <c r="R61" s="504">
        <f t="shared" si="22"/>
        <v>0</v>
      </c>
      <c r="S61" s="441">
        <v>0</v>
      </c>
      <c r="T61" s="443">
        <v>0</v>
      </c>
      <c r="U61" s="504">
        <f t="shared" si="23"/>
        <v>0</v>
      </c>
      <c r="V61" s="441">
        <v>0</v>
      </c>
      <c r="W61" s="443">
        <v>0</v>
      </c>
      <c r="X61" s="504">
        <f t="shared" si="24"/>
        <v>0</v>
      </c>
      <c r="Y61" s="441">
        <v>0</v>
      </c>
      <c r="Z61" s="443">
        <v>0</v>
      </c>
      <c r="AA61" s="504">
        <f t="shared" si="25"/>
        <v>0</v>
      </c>
      <c r="AB61" s="441">
        <v>0</v>
      </c>
      <c r="AC61" s="443">
        <v>0</v>
      </c>
      <c r="AD61" s="504">
        <f t="shared" si="26"/>
        <v>0</v>
      </c>
      <c r="AE61" s="441">
        <v>0</v>
      </c>
      <c r="AF61" s="443">
        <v>0</v>
      </c>
      <c r="AG61" s="504">
        <f t="shared" si="27"/>
        <v>0</v>
      </c>
      <c r="AH61" s="441">
        <v>0</v>
      </c>
      <c r="AI61" s="443">
        <v>0</v>
      </c>
      <c r="AJ61" s="504">
        <f t="shared" si="28"/>
        <v>0</v>
      </c>
      <c r="AK61" s="441">
        <v>0</v>
      </c>
      <c r="AL61" s="443">
        <v>0</v>
      </c>
      <c r="AM61" s="504">
        <f t="shared" si="29"/>
        <v>0</v>
      </c>
      <c r="AN61" s="441">
        <v>0</v>
      </c>
      <c r="AO61" s="443">
        <v>0</v>
      </c>
      <c r="AP61" s="504">
        <f t="shared" si="30"/>
        <v>0</v>
      </c>
      <c r="AQ61" s="441">
        <v>0</v>
      </c>
      <c r="AR61" s="443">
        <v>0</v>
      </c>
      <c r="AS61" s="444">
        <f t="shared" si="35"/>
        <v>0</v>
      </c>
      <c r="AT61" s="455"/>
    </row>
    <row r="62" spans="1:46" s="456" customFormat="1" x14ac:dyDescent="0.25">
      <c r="A62" s="790"/>
      <c r="B62" s="792"/>
      <c r="C62" s="411" t="s">
        <v>31</v>
      </c>
      <c r="D62" s="437">
        <f t="shared" si="36"/>
        <v>48000</v>
      </c>
      <c r="E62" s="438">
        <f t="shared" si="37"/>
        <v>44800</v>
      </c>
      <c r="F62" s="439">
        <f t="shared" si="38"/>
        <v>3200</v>
      </c>
      <c r="G62" s="440">
        <f t="shared" si="39"/>
        <v>48000</v>
      </c>
      <c r="H62" s="441">
        <f t="shared" si="40"/>
        <v>44800</v>
      </c>
      <c r="I62" s="442">
        <f t="shared" si="32"/>
        <v>-3200</v>
      </c>
      <c r="J62" s="441"/>
      <c r="K62" s="441"/>
      <c r="L62" s="442">
        <f t="shared" si="33"/>
        <v>0</v>
      </c>
      <c r="M62" s="441"/>
      <c r="N62" s="441"/>
      <c r="O62" s="442">
        <f t="shared" si="34"/>
        <v>0</v>
      </c>
      <c r="P62" s="441">
        <v>0</v>
      </c>
      <c r="Q62" s="443">
        <v>0</v>
      </c>
      <c r="R62" s="504">
        <f t="shared" si="22"/>
        <v>0</v>
      </c>
      <c r="S62" s="441">
        <v>0</v>
      </c>
      <c r="T62" s="443">
        <v>0</v>
      </c>
      <c r="U62" s="504">
        <f t="shared" si="23"/>
        <v>0</v>
      </c>
      <c r="V62" s="441">
        <v>0</v>
      </c>
      <c r="W62" s="443">
        <v>0</v>
      </c>
      <c r="X62" s="504">
        <f t="shared" si="24"/>
        <v>0</v>
      </c>
      <c r="Y62" s="441">
        <v>0</v>
      </c>
      <c r="Z62" s="443">
        <v>0</v>
      </c>
      <c r="AA62" s="504">
        <f t="shared" si="25"/>
        <v>0</v>
      </c>
      <c r="AB62" s="441">
        <v>0</v>
      </c>
      <c r="AC62" s="443">
        <v>0</v>
      </c>
      <c r="AD62" s="504">
        <f t="shared" si="26"/>
        <v>0</v>
      </c>
      <c r="AE62" s="441">
        <v>0</v>
      </c>
      <c r="AF62" s="443">
        <v>0</v>
      </c>
      <c r="AG62" s="504">
        <f t="shared" si="27"/>
        <v>0</v>
      </c>
      <c r="AH62" s="441">
        <v>0</v>
      </c>
      <c r="AI62" s="443">
        <v>0</v>
      </c>
      <c r="AJ62" s="504">
        <f t="shared" si="28"/>
        <v>0</v>
      </c>
      <c r="AK62" s="441">
        <v>0</v>
      </c>
      <c r="AL62" s="443">
        <v>0</v>
      </c>
      <c r="AM62" s="504">
        <f t="shared" si="29"/>
        <v>0</v>
      </c>
      <c r="AN62" s="441">
        <v>0</v>
      </c>
      <c r="AO62" s="443">
        <v>0</v>
      </c>
      <c r="AP62" s="504">
        <f t="shared" si="30"/>
        <v>0</v>
      </c>
      <c r="AQ62" s="441">
        <v>0</v>
      </c>
      <c r="AR62" s="443">
        <v>0</v>
      </c>
      <c r="AS62" s="444">
        <f t="shared" si="35"/>
        <v>0</v>
      </c>
      <c r="AT62" s="455"/>
    </row>
    <row r="63" spans="1:46" s="456" customFormat="1" x14ac:dyDescent="0.25">
      <c r="A63" s="790"/>
      <c r="B63" s="792"/>
      <c r="C63" s="411" t="s">
        <v>32</v>
      </c>
      <c r="D63" s="437">
        <f t="shared" si="36"/>
        <v>48000</v>
      </c>
      <c r="E63" s="438">
        <f t="shared" si="37"/>
        <v>44800</v>
      </c>
      <c r="F63" s="439">
        <f t="shared" si="38"/>
        <v>3200</v>
      </c>
      <c r="G63" s="440">
        <f t="shared" si="39"/>
        <v>48000</v>
      </c>
      <c r="H63" s="441">
        <f t="shared" si="40"/>
        <v>44800</v>
      </c>
      <c r="I63" s="442">
        <f t="shared" si="32"/>
        <v>-3200</v>
      </c>
      <c r="J63" s="441"/>
      <c r="K63" s="441"/>
      <c r="L63" s="442">
        <f t="shared" si="33"/>
        <v>0</v>
      </c>
      <c r="M63" s="441"/>
      <c r="N63" s="441"/>
      <c r="O63" s="442">
        <f t="shared" si="34"/>
        <v>0</v>
      </c>
      <c r="P63" s="441">
        <v>0</v>
      </c>
      <c r="Q63" s="443">
        <v>0</v>
      </c>
      <c r="R63" s="504">
        <f t="shared" si="22"/>
        <v>0</v>
      </c>
      <c r="S63" s="441">
        <v>0</v>
      </c>
      <c r="T63" s="443">
        <v>0</v>
      </c>
      <c r="U63" s="504">
        <f t="shared" si="23"/>
        <v>0</v>
      </c>
      <c r="V63" s="441">
        <v>0</v>
      </c>
      <c r="W63" s="443">
        <v>0</v>
      </c>
      <c r="X63" s="504">
        <f t="shared" si="24"/>
        <v>0</v>
      </c>
      <c r="Y63" s="441">
        <v>0</v>
      </c>
      <c r="Z63" s="443">
        <v>0</v>
      </c>
      <c r="AA63" s="504">
        <f t="shared" si="25"/>
        <v>0</v>
      </c>
      <c r="AB63" s="441">
        <v>0</v>
      </c>
      <c r="AC63" s="443">
        <v>0</v>
      </c>
      <c r="AD63" s="504">
        <f t="shared" si="26"/>
        <v>0</v>
      </c>
      <c r="AE63" s="441">
        <v>0</v>
      </c>
      <c r="AF63" s="443">
        <v>0</v>
      </c>
      <c r="AG63" s="504">
        <f t="shared" si="27"/>
        <v>0</v>
      </c>
      <c r="AH63" s="441">
        <v>0</v>
      </c>
      <c r="AI63" s="443">
        <v>0</v>
      </c>
      <c r="AJ63" s="504">
        <f t="shared" si="28"/>
        <v>0</v>
      </c>
      <c r="AK63" s="441">
        <v>0</v>
      </c>
      <c r="AL63" s="443">
        <v>0</v>
      </c>
      <c r="AM63" s="504">
        <f t="shared" si="29"/>
        <v>0</v>
      </c>
      <c r="AN63" s="441">
        <v>0</v>
      </c>
      <c r="AO63" s="443">
        <v>0</v>
      </c>
      <c r="AP63" s="504">
        <f t="shared" si="30"/>
        <v>0</v>
      </c>
      <c r="AQ63" s="441">
        <v>0</v>
      </c>
      <c r="AR63" s="443">
        <v>0</v>
      </c>
      <c r="AS63" s="444">
        <f t="shared" si="35"/>
        <v>0</v>
      </c>
      <c r="AT63" s="455"/>
    </row>
    <row r="64" spans="1:46" s="456" customFormat="1" x14ac:dyDescent="0.25">
      <c r="A64" s="790"/>
      <c r="B64" s="792"/>
      <c r="C64" s="411" t="s">
        <v>33</v>
      </c>
      <c r="D64" s="437">
        <f t="shared" si="36"/>
        <v>48000</v>
      </c>
      <c r="E64" s="438">
        <f t="shared" si="37"/>
        <v>44800</v>
      </c>
      <c r="F64" s="439">
        <f t="shared" si="38"/>
        <v>3200</v>
      </c>
      <c r="G64" s="440">
        <f t="shared" si="39"/>
        <v>48000</v>
      </c>
      <c r="H64" s="441">
        <f t="shared" si="40"/>
        <v>44800</v>
      </c>
      <c r="I64" s="442">
        <f t="shared" si="32"/>
        <v>-3200</v>
      </c>
      <c r="J64" s="441"/>
      <c r="K64" s="441"/>
      <c r="L64" s="442">
        <f t="shared" si="33"/>
        <v>0</v>
      </c>
      <c r="M64" s="441"/>
      <c r="N64" s="441"/>
      <c r="O64" s="442">
        <f t="shared" si="34"/>
        <v>0</v>
      </c>
      <c r="P64" s="441">
        <v>0</v>
      </c>
      <c r="Q64" s="443">
        <v>0</v>
      </c>
      <c r="R64" s="504">
        <f t="shared" si="22"/>
        <v>0</v>
      </c>
      <c r="S64" s="441">
        <v>0</v>
      </c>
      <c r="T64" s="443">
        <v>0</v>
      </c>
      <c r="U64" s="504">
        <f t="shared" si="23"/>
        <v>0</v>
      </c>
      <c r="V64" s="441">
        <v>0</v>
      </c>
      <c r="W64" s="443">
        <v>0</v>
      </c>
      <c r="X64" s="504">
        <f t="shared" si="24"/>
        <v>0</v>
      </c>
      <c r="Y64" s="441">
        <v>0</v>
      </c>
      <c r="Z64" s="443">
        <v>0</v>
      </c>
      <c r="AA64" s="504">
        <f t="shared" si="25"/>
        <v>0</v>
      </c>
      <c r="AB64" s="441">
        <v>0</v>
      </c>
      <c r="AC64" s="443">
        <v>0</v>
      </c>
      <c r="AD64" s="504">
        <f t="shared" si="26"/>
        <v>0</v>
      </c>
      <c r="AE64" s="441">
        <v>0</v>
      </c>
      <c r="AF64" s="443">
        <v>0</v>
      </c>
      <c r="AG64" s="504">
        <f t="shared" si="27"/>
        <v>0</v>
      </c>
      <c r="AH64" s="441">
        <v>0</v>
      </c>
      <c r="AI64" s="443">
        <v>0</v>
      </c>
      <c r="AJ64" s="504">
        <f t="shared" si="28"/>
        <v>0</v>
      </c>
      <c r="AK64" s="441">
        <v>0</v>
      </c>
      <c r="AL64" s="443">
        <v>0</v>
      </c>
      <c r="AM64" s="504">
        <f t="shared" si="29"/>
        <v>0</v>
      </c>
      <c r="AN64" s="441">
        <v>0</v>
      </c>
      <c r="AO64" s="443">
        <v>0</v>
      </c>
      <c r="AP64" s="504">
        <f t="shared" si="30"/>
        <v>0</v>
      </c>
      <c r="AQ64" s="441">
        <v>0</v>
      </c>
      <c r="AR64" s="443">
        <v>0</v>
      </c>
      <c r="AS64" s="444">
        <f t="shared" si="35"/>
        <v>0</v>
      </c>
      <c r="AT64" s="455"/>
    </row>
    <row r="65" spans="1:46" s="456" customFormat="1" ht="15.75" thickBot="1" x14ac:dyDescent="0.3">
      <c r="A65" s="791"/>
      <c r="B65" s="793"/>
      <c r="C65" s="420" t="s">
        <v>34</v>
      </c>
      <c r="D65" s="445">
        <f t="shared" si="36"/>
        <v>48000</v>
      </c>
      <c r="E65" s="446">
        <f t="shared" si="37"/>
        <v>44800</v>
      </c>
      <c r="F65" s="447">
        <f t="shared" si="38"/>
        <v>3200</v>
      </c>
      <c r="G65" s="448">
        <f t="shared" si="39"/>
        <v>48000</v>
      </c>
      <c r="H65" s="441">
        <f t="shared" si="40"/>
        <v>44800</v>
      </c>
      <c r="I65" s="450">
        <f t="shared" si="32"/>
        <v>-3200</v>
      </c>
      <c r="J65" s="449"/>
      <c r="K65" s="449"/>
      <c r="L65" s="450">
        <f t="shared" si="33"/>
        <v>0</v>
      </c>
      <c r="M65" s="449"/>
      <c r="N65" s="449"/>
      <c r="O65" s="450">
        <f t="shared" si="34"/>
        <v>0</v>
      </c>
      <c r="P65" s="449">
        <v>0</v>
      </c>
      <c r="Q65" s="451">
        <v>0</v>
      </c>
      <c r="R65" s="512">
        <f t="shared" si="22"/>
        <v>0</v>
      </c>
      <c r="S65" s="449">
        <v>0</v>
      </c>
      <c r="T65" s="451">
        <v>0</v>
      </c>
      <c r="U65" s="512">
        <f t="shared" si="23"/>
        <v>0</v>
      </c>
      <c r="V65" s="449">
        <v>0</v>
      </c>
      <c r="W65" s="451">
        <v>0</v>
      </c>
      <c r="X65" s="512">
        <f t="shared" si="24"/>
        <v>0</v>
      </c>
      <c r="Y65" s="449">
        <v>0</v>
      </c>
      <c r="Z65" s="451">
        <v>0</v>
      </c>
      <c r="AA65" s="512">
        <f t="shared" si="25"/>
        <v>0</v>
      </c>
      <c r="AB65" s="449">
        <v>0</v>
      </c>
      <c r="AC65" s="451">
        <v>0</v>
      </c>
      <c r="AD65" s="512">
        <f t="shared" si="26"/>
        <v>0</v>
      </c>
      <c r="AE65" s="449">
        <v>0</v>
      </c>
      <c r="AF65" s="451">
        <v>0</v>
      </c>
      <c r="AG65" s="512">
        <f t="shared" si="27"/>
        <v>0</v>
      </c>
      <c r="AH65" s="449">
        <v>0</v>
      </c>
      <c r="AI65" s="451">
        <v>0</v>
      </c>
      <c r="AJ65" s="512">
        <f t="shared" si="28"/>
        <v>0</v>
      </c>
      <c r="AK65" s="449">
        <v>0</v>
      </c>
      <c r="AL65" s="451">
        <v>0</v>
      </c>
      <c r="AM65" s="512">
        <f t="shared" si="29"/>
        <v>0</v>
      </c>
      <c r="AN65" s="449">
        <v>0</v>
      </c>
      <c r="AO65" s="451">
        <v>0</v>
      </c>
      <c r="AP65" s="512">
        <f t="shared" si="30"/>
        <v>0</v>
      </c>
      <c r="AQ65" s="449">
        <v>0</v>
      </c>
      <c r="AR65" s="451">
        <v>0</v>
      </c>
      <c r="AS65" s="452">
        <f t="shared" si="35"/>
        <v>0</v>
      </c>
      <c r="AT65" s="455"/>
    </row>
    <row r="66" spans="1:46" s="454" customFormat="1" ht="14.25" customHeight="1" x14ac:dyDescent="0.25">
      <c r="A66" s="790" t="s">
        <v>39</v>
      </c>
      <c r="B66" s="792" t="s">
        <v>13</v>
      </c>
      <c r="C66" s="411" t="s">
        <v>25</v>
      </c>
      <c r="D66" s="401">
        <f t="shared" ref="D66:D75" si="41">G66+J66+M66+AQ66</f>
        <v>0</v>
      </c>
      <c r="E66" s="402">
        <f t="shared" ref="E66:E75" si="42">H66+K66+N66+AR66</f>
        <v>0</v>
      </c>
      <c r="F66" s="403">
        <f t="shared" ref="F66:F75" si="43">I66+L66+O66+AS66</f>
        <v>0</v>
      </c>
      <c r="G66" s="404"/>
      <c r="H66" s="405"/>
      <c r="I66" s="406">
        <f t="shared" si="32"/>
        <v>0</v>
      </c>
      <c r="J66" s="405"/>
      <c r="K66" s="405"/>
      <c r="L66" s="406">
        <f t="shared" si="33"/>
        <v>0</v>
      </c>
      <c r="M66" s="405"/>
      <c r="N66" s="405"/>
      <c r="O66" s="406">
        <f t="shared" si="34"/>
        <v>0</v>
      </c>
      <c r="P66" s="405"/>
      <c r="Q66" s="407"/>
      <c r="R66" s="408">
        <f t="shared" si="22"/>
        <v>0</v>
      </c>
      <c r="S66" s="405"/>
      <c r="T66" s="407"/>
      <c r="U66" s="408">
        <f t="shared" si="23"/>
        <v>0</v>
      </c>
      <c r="V66" s="405"/>
      <c r="W66" s="407"/>
      <c r="X66" s="408">
        <f t="shared" si="24"/>
        <v>0</v>
      </c>
      <c r="Y66" s="405"/>
      <c r="Z66" s="407"/>
      <c r="AA66" s="408">
        <f t="shared" si="25"/>
        <v>0</v>
      </c>
      <c r="AB66" s="405"/>
      <c r="AC66" s="407"/>
      <c r="AD66" s="408">
        <f t="shared" si="26"/>
        <v>0</v>
      </c>
      <c r="AE66" s="405"/>
      <c r="AF66" s="407"/>
      <c r="AG66" s="408">
        <f t="shared" si="27"/>
        <v>0</v>
      </c>
      <c r="AH66" s="405"/>
      <c r="AI66" s="407"/>
      <c r="AJ66" s="408">
        <f t="shared" si="28"/>
        <v>0</v>
      </c>
      <c r="AK66" s="405"/>
      <c r="AL66" s="407"/>
      <c r="AM66" s="408">
        <f t="shared" si="29"/>
        <v>0</v>
      </c>
      <c r="AN66" s="405"/>
      <c r="AO66" s="407"/>
      <c r="AP66" s="408">
        <f t="shared" si="30"/>
        <v>0</v>
      </c>
      <c r="AQ66" s="405"/>
      <c r="AR66" s="407"/>
      <c r="AS66" s="408">
        <f t="shared" si="35"/>
        <v>0</v>
      </c>
      <c r="AT66" s="453"/>
    </row>
    <row r="67" spans="1:46" s="456" customFormat="1" x14ac:dyDescent="0.25">
      <c r="A67" s="790"/>
      <c r="B67" s="792"/>
      <c r="C67" s="411" t="s">
        <v>26</v>
      </c>
      <c r="D67" s="412">
        <f t="shared" si="41"/>
        <v>0</v>
      </c>
      <c r="E67" s="413">
        <f t="shared" si="42"/>
        <v>0</v>
      </c>
      <c r="F67" s="414">
        <f t="shared" si="43"/>
        <v>0</v>
      </c>
      <c r="G67" s="415"/>
      <c r="H67" s="416"/>
      <c r="I67" s="417">
        <f t="shared" si="32"/>
        <v>0</v>
      </c>
      <c r="J67" s="416"/>
      <c r="K67" s="416"/>
      <c r="L67" s="417">
        <f t="shared" si="33"/>
        <v>0</v>
      </c>
      <c r="M67" s="416"/>
      <c r="N67" s="416"/>
      <c r="O67" s="417">
        <f t="shared" si="34"/>
        <v>0</v>
      </c>
      <c r="P67" s="416"/>
      <c r="Q67" s="418"/>
      <c r="R67" s="419">
        <f t="shared" si="22"/>
        <v>0</v>
      </c>
      <c r="S67" s="416"/>
      <c r="T67" s="418"/>
      <c r="U67" s="419">
        <f t="shared" si="23"/>
        <v>0</v>
      </c>
      <c r="V67" s="416"/>
      <c r="W67" s="418"/>
      <c r="X67" s="419">
        <f t="shared" si="24"/>
        <v>0</v>
      </c>
      <c r="Y67" s="416"/>
      <c r="Z67" s="418"/>
      <c r="AA67" s="419">
        <f t="shared" si="25"/>
        <v>0</v>
      </c>
      <c r="AB67" s="416"/>
      <c r="AC67" s="418"/>
      <c r="AD67" s="419">
        <f t="shared" si="26"/>
        <v>0</v>
      </c>
      <c r="AE67" s="416"/>
      <c r="AF67" s="418"/>
      <c r="AG67" s="419">
        <f t="shared" si="27"/>
        <v>0</v>
      </c>
      <c r="AH67" s="416"/>
      <c r="AI67" s="418"/>
      <c r="AJ67" s="419">
        <f t="shared" si="28"/>
        <v>0</v>
      </c>
      <c r="AK67" s="416"/>
      <c r="AL67" s="418"/>
      <c r="AM67" s="419">
        <f t="shared" si="29"/>
        <v>0</v>
      </c>
      <c r="AN67" s="416"/>
      <c r="AO67" s="418"/>
      <c r="AP67" s="419">
        <f t="shared" si="30"/>
        <v>0</v>
      </c>
      <c r="AQ67" s="416"/>
      <c r="AR67" s="418"/>
      <c r="AS67" s="419">
        <f t="shared" si="35"/>
        <v>0</v>
      </c>
      <c r="AT67" s="455"/>
    </row>
    <row r="68" spans="1:46" s="456" customFormat="1" x14ac:dyDescent="0.25">
      <c r="A68" s="790"/>
      <c r="B68" s="792"/>
      <c r="C68" s="411" t="s">
        <v>27</v>
      </c>
      <c r="D68" s="412">
        <f t="shared" si="41"/>
        <v>0</v>
      </c>
      <c r="E68" s="413">
        <f t="shared" si="42"/>
        <v>0</v>
      </c>
      <c r="F68" s="414">
        <f t="shared" si="43"/>
        <v>0</v>
      </c>
      <c r="G68" s="415"/>
      <c r="H68" s="416"/>
      <c r="I68" s="417">
        <f t="shared" si="32"/>
        <v>0</v>
      </c>
      <c r="J68" s="416"/>
      <c r="K68" s="416"/>
      <c r="L68" s="417">
        <f t="shared" si="33"/>
        <v>0</v>
      </c>
      <c r="M68" s="416"/>
      <c r="N68" s="416"/>
      <c r="O68" s="417">
        <f t="shared" si="34"/>
        <v>0</v>
      </c>
      <c r="P68" s="416"/>
      <c r="Q68" s="418"/>
      <c r="R68" s="419">
        <f t="shared" si="22"/>
        <v>0</v>
      </c>
      <c r="S68" s="416"/>
      <c r="T68" s="418"/>
      <c r="U68" s="419">
        <f t="shared" si="23"/>
        <v>0</v>
      </c>
      <c r="V68" s="416"/>
      <c r="W68" s="418"/>
      <c r="X68" s="419">
        <f t="shared" si="24"/>
        <v>0</v>
      </c>
      <c r="Y68" s="416"/>
      <c r="Z68" s="418"/>
      <c r="AA68" s="419">
        <f t="shared" si="25"/>
        <v>0</v>
      </c>
      <c r="AB68" s="416"/>
      <c r="AC68" s="418"/>
      <c r="AD68" s="419">
        <f t="shared" si="26"/>
        <v>0</v>
      </c>
      <c r="AE68" s="416"/>
      <c r="AF68" s="418"/>
      <c r="AG68" s="419">
        <f t="shared" si="27"/>
        <v>0</v>
      </c>
      <c r="AH68" s="416"/>
      <c r="AI68" s="418"/>
      <c r="AJ68" s="419">
        <f t="shared" si="28"/>
        <v>0</v>
      </c>
      <c r="AK68" s="416"/>
      <c r="AL68" s="418"/>
      <c r="AM68" s="419">
        <f t="shared" si="29"/>
        <v>0</v>
      </c>
      <c r="AN68" s="416"/>
      <c r="AO68" s="418"/>
      <c r="AP68" s="419">
        <f t="shared" si="30"/>
        <v>0</v>
      </c>
      <c r="AQ68" s="416"/>
      <c r="AR68" s="418"/>
      <c r="AS68" s="419">
        <f t="shared" si="35"/>
        <v>0</v>
      </c>
      <c r="AT68" s="455"/>
    </row>
    <row r="69" spans="1:46" s="456" customFormat="1" x14ac:dyDescent="0.25">
      <c r="A69" s="790"/>
      <c r="B69" s="792"/>
      <c r="C69" s="411" t="s">
        <v>28</v>
      </c>
      <c r="D69" s="412">
        <f t="shared" si="41"/>
        <v>0</v>
      </c>
      <c r="E69" s="413">
        <f t="shared" si="42"/>
        <v>0</v>
      </c>
      <c r="F69" s="414">
        <f t="shared" si="43"/>
        <v>0</v>
      </c>
      <c r="G69" s="415"/>
      <c r="H69" s="416"/>
      <c r="I69" s="417">
        <f t="shared" si="32"/>
        <v>0</v>
      </c>
      <c r="J69" s="416"/>
      <c r="K69" s="416"/>
      <c r="L69" s="417">
        <f t="shared" si="33"/>
        <v>0</v>
      </c>
      <c r="M69" s="416"/>
      <c r="N69" s="416"/>
      <c r="O69" s="417">
        <f t="shared" si="34"/>
        <v>0</v>
      </c>
      <c r="P69" s="416"/>
      <c r="Q69" s="418"/>
      <c r="R69" s="419">
        <f t="shared" si="22"/>
        <v>0</v>
      </c>
      <c r="S69" s="416"/>
      <c r="T69" s="418"/>
      <c r="U69" s="419">
        <f t="shared" si="23"/>
        <v>0</v>
      </c>
      <c r="V69" s="416"/>
      <c r="W69" s="418"/>
      <c r="X69" s="419">
        <f t="shared" si="24"/>
        <v>0</v>
      </c>
      <c r="Y69" s="416"/>
      <c r="Z69" s="418"/>
      <c r="AA69" s="419">
        <f t="shared" si="25"/>
        <v>0</v>
      </c>
      <c r="AB69" s="416"/>
      <c r="AC69" s="418"/>
      <c r="AD69" s="419">
        <f t="shared" si="26"/>
        <v>0</v>
      </c>
      <c r="AE69" s="416"/>
      <c r="AF69" s="418"/>
      <c r="AG69" s="419">
        <f t="shared" si="27"/>
        <v>0</v>
      </c>
      <c r="AH69" s="416"/>
      <c r="AI69" s="418"/>
      <c r="AJ69" s="419">
        <f t="shared" si="28"/>
        <v>0</v>
      </c>
      <c r="AK69" s="416"/>
      <c r="AL69" s="418"/>
      <c r="AM69" s="419">
        <f t="shared" si="29"/>
        <v>0</v>
      </c>
      <c r="AN69" s="416"/>
      <c r="AO69" s="418"/>
      <c r="AP69" s="419">
        <f t="shared" si="30"/>
        <v>0</v>
      </c>
      <c r="AQ69" s="416"/>
      <c r="AR69" s="418"/>
      <c r="AS69" s="419">
        <f t="shared" si="35"/>
        <v>0</v>
      </c>
      <c r="AT69" s="455"/>
    </row>
    <row r="70" spans="1:46" s="456" customFormat="1" x14ac:dyDescent="0.25">
      <c r="A70" s="790"/>
      <c r="B70" s="792"/>
      <c r="C70" s="411" t="s">
        <v>29</v>
      </c>
      <c r="D70" s="412">
        <f t="shared" si="41"/>
        <v>0</v>
      </c>
      <c r="E70" s="413">
        <f t="shared" si="42"/>
        <v>0</v>
      </c>
      <c r="F70" s="414">
        <f t="shared" si="43"/>
        <v>0</v>
      </c>
      <c r="G70" s="415"/>
      <c r="H70" s="416"/>
      <c r="I70" s="417">
        <f t="shared" si="32"/>
        <v>0</v>
      </c>
      <c r="J70" s="416"/>
      <c r="K70" s="416"/>
      <c r="L70" s="417">
        <f t="shared" si="33"/>
        <v>0</v>
      </c>
      <c r="M70" s="416"/>
      <c r="N70" s="416"/>
      <c r="O70" s="417">
        <f t="shared" si="34"/>
        <v>0</v>
      </c>
      <c r="P70" s="416"/>
      <c r="Q70" s="418"/>
      <c r="R70" s="419">
        <f t="shared" si="22"/>
        <v>0</v>
      </c>
      <c r="S70" s="416"/>
      <c r="T70" s="418"/>
      <c r="U70" s="419">
        <f t="shared" si="23"/>
        <v>0</v>
      </c>
      <c r="V70" s="416"/>
      <c r="W70" s="418"/>
      <c r="X70" s="419">
        <f t="shared" si="24"/>
        <v>0</v>
      </c>
      <c r="Y70" s="416"/>
      <c r="Z70" s="418"/>
      <c r="AA70" s="419">
        <f t="shared" si="25"/>
        <v>0</v>
      </c>
      <c r="AB70" s="416"/>
      <c r="AC70" s="418"/>
      <c r="AD70" s="419">
        <f t="shared" si="26"/>
        <v>0</v>
      </c>
      <c r="AE70" s="416"/>
      <c r="AF70" s="418"/>
      <c r="AG70" s="419">
        <f t="shared" si="27"/>
        <v>0</v>
      </c>
      <c r="AH70" s="416"/>
      <c r="AI70" s="418"/>
      <c r="AJ70" s="419">
        <f t="shared" si="28"/>
        <v>0</v>
      </c>
      <c r="AK70" s="416"/>
      <c r="AL70" s="418"/>
      <c r="AM70" s="419">
        <f t="shared" si="29"/>
        <v>0</v>
      </c>
      <c r="AN70" s="416"/>
      <c r="AO70" s="418"/>
      <c r="AP70" s="419">
        <f t="shared" si="30"/>
        <v>0</v>
      </c>
      <c r="AQ70" s="416"/>
      <c r="AR70" s="418"/>
      <c r="AS70" s="419">
        <f t="shared" si="35"/>
        <v>0</v>
      </c>
      <c r="AT70" s="455"/>
    </row>
    <row r="71" spans="1:46" s="456" customFormat="1" x14ac:dyDescent="0.25">
      <c r="A71" s="790"/>
      <c r="B71" s="792"/>
      <c r="C71" s="411" t="s">
        <v>30</v>
      </c>
      <c r="D71" s="412">
        <f t="shared" si="41"/>
        <v>0</v>
      </c>
      <c r="E71" s="413">
        <f t="shared" si="42"/>
        <v>0</v>
      </c>
      <c r="F71" s="414">
        <f t="shared" si="43"/>
        <v>0</v>
      </c>
      <c r="G71" s="415"/>
      <c r="H71" s="416"/>
      <c r="I71" s="417">
        <f t="shared" si="32"/>
        <v>0</v>
      </c>
      <c r="J71" s="416"/>
      <c r="K71" s="416"/>
      <c r="L71" s="417">
        <f t="shared" si="33"/>
        <v>0</v>
      </c>
      <c r="M71" s="416"/>
      <c r="N71" s="416"/>
      <c r="O71" s="417">
        <f t="shared" si="34"/>
        <v>0</v>
      </c>
      <c r="P71" s="416"/>
      <c r="Q71" s="418"/>
      <c r="R71" s="419">
        <f t="shared" si="22"/>
        <v>0</v>
      </c>
      <c r="S71" s="416"/>
      <c r="T71" s="418"/>
      <c r="U71" s="419">
        <f t="shared" si="23"/>
        <v>0</v>
      </c>
      <c r="V71" s="416"/>
      <c r="W71" s="418"/>
      <c r="X71" s="419">
        <f t="shared" si="24"/>
        <v>0</v>
      </c>
      <c r="Y71" s="416"/>
      <c r="Z71" s="418"/>
      <c r="AA71" s="419">
        <f t="shared" si="25"/>
        <v>0</v>
      </c>
      <c r="AB71" s="416"/>
      <c r="AC71" s="418"/>
      <c r="AD71" s="419">
        <f t="shared" si="26"/>
        <v>0</v>
      </c>
      <c r="AE71" s="416"/>
      <c r="AF71" s="418"/>
      <c r="AG71" s="419">
        <f t="shared" si="27"/>
        <v>0</v>
      </c>
      <c r="AH71" s="416"/>
      <c r="AI71" s="418"/>
      <c r="AJ71" s="419">
        <f t="shared" si="28"/>
        <v>0</v>
      </c>
      <c r="AK71" s="416"/>
      <c r="AL71" s="418"/>
      <c r="AM71" s="419">
        <f t="shared" si="29"/>
        <v>0</v>
      </c>
      <c r="AN71" s="416"/>
      <c r="AO71" s="418"/>
      <c r="AP71" s="419">
        <f t="shared" si="30"/>
        <v>0</v>
      </c>
      <c r="AQ71" s="416"/>
      <c r="AR71" s="418"/>
      <c r="AS71" s="419">
        <f t="shared" si="35"/>
        <v>0</v>
      </c>
      <c r="AT71" s="455"/>
    </row>
    <row r="72" spans="1:46" s="456" customFormat="1" x14ac:dyDescent="0.25">
      <c r="A72" s="790"/>
      <c r="B72" s="792"/>
      <c r="C72" s="411" t="s">
        <v>31</v>
      </c>
      <c r="D72" s="412">
        <f t="shared" si="41"/>
        <v>0</v>
      </c>
      <c r="E72" s="413">
        <f t="shared" si="42"/>
        <v>0</v>
      </c>
      <c r="F72" s="414">
        <f t="shared" si="43"/>
        <v>0</v>
      </c>
      <c r="G72" s="415"/>
      <c r="H72" s="416"/>
      <c r="I72" s="417">
        <f t="shared" si="32"/>
        <v>0</v>
      </c>
      <c r="J72" s="416"/>
      <c r="K72" s="416"/>
      <c r="L72" s="417">
        <f t="shared" si="33"/>
        <v>0</v>
      </c>
      <c r="M72" s="416"/>
      <c r="N72" s="416"/>
      <c r="O72" s="417">
        <f t="shared" si="34"/>
        <v>0</v>
      </c>
      <c r="P72" s="416"/>
      <c r="Q72" s="418"/>
      <c r="R72" s="419">
        <f t="shared" si="22"/>
        <v>0</v>
      </c>
      <c r="S72" s="416"/>
      <c r="T72" s="418"/>
      <c r="U72" s="419">
        <f t="shared" si="23"/>
        <v>0</v>
      </c>
      <c r="V72" s="416"/>
      <c r="W72" s="418"/>
      <c r="X72" s="419">
        <f t="shared" si="24"/>
        <v>0</v>
      </c>
      <c r="Y72" s="416"/>
      <c r="Z72" s="418"/>
      <c r="AA72" s="419">
        <f t="shared" si="25"/>
        <v>0</v>
      </c>
      <c r="AB72" s="416"/>
      <c r="AC72" s="418"/>
      <c r="AD72" s="419">
        <f t="shared" si="26"/>
        <v>0</v>
      </c>
      <c r="AE72" s="416"/>
      <c r="AF72" s="418"/>
      <c r="AG72" s="419">
        <f t="shared" si="27"/>
        <v>0</v>
      </c>
      <c r="AH72" s="416"/>
      <c r="AI72" s="418"/>
      <c r="AJ72" s="419">
        <f t="shared" si="28"/>
        <v>0</v>
      </c>
      <c r="AK72" s="416"/>
      <c r="AL72" s="418"/>
      <c r="AM72" s="419">
        <f t="shared" si="29"/>
        <v>0</v>
      </c>
      <c r="AN72" s="416"/>
      <c r="AO72" s="418"/>
      <c r="AP72" s="419">
        <f t="shared" si="30"/>
        <v>0</v>
      </c>
      <c r="AQ72" s="416"/>
      <c r="AR72" s="418"/>
      <c r="AS72" s="419">
        <f t="shared" si="35"/>
        <v>0</v>
      </c>
      <c r="AT72" s="455"/>
    </row>
    <row r="73" spans="1:46" s="456" customFormat="1" x14ac:dyDescent="0.25">
      <c r="A73" s="790"/>
      <c r="B73" s="792"/>
      <c r="C73" s="411" t="s">
        <v>32</v>
      </c>
      <c r="D73" s="412">
        <f t="shared" si="41"/>
        <v>0</v>
      </c>
      <c r="E73" s="413">
        <f t="shared" si="42"/>
        <v>0</v>
      </c>
      <c r="F73" s="414">
        <f t="shared" si="43"/>
        <v>0</v>
      </c>
      <c r="G73" s="415"/>
      <c r="H73" s="416"/>
      <c r="I73" s="417">
        <f t="shared" si="32"/>
        <v>0</v>
      </c>
      <c r="J73" s="416"/>
      <c r="K73" s="416"/>
      <c r="L73" s="417">
        <f t="shared" si="33"/>
        <v>0</v>
      </c>
      <c r="M73" s="416"/>
      <c r="N73" s="416"/>
      <c r="O73" s="417">
        <f t="shared" si="34"/>
        <v>0</v>
      </c>
      <c r="P73" s="416"/>
      <c r="Q73" s="418"/>
      <c r="R73" s="419">
        <f t="shared" si="22"/>
        <v>0</v>
      </c>
      <c r="S73" s="416"/>
      <c r="T73" s="418"/>
      <c r="U73" s="419">
        <f t="shared" si="23"/>
        <v>0</v>
      </c>
      <c r="V73" s="416"/>
      <c r="W73" s="418"/>
      <c r="X73" s="419">
        <f t="shared" si="24"/>
        <v>0</v>
      </c>
      <c r="Y73" s="416"/>
      <c r="Z73" s="418"/>
      <c r="AA73" s="419">
        <f t="shared" si="25"/>
        <v>0</v>
      </c>
      <c r="AB73" s="416"/>
      <c r="AC73" s="418"/>
      <c r="AD73" s="419">
        <f t="shared" si="26"/>
        <v>0</v>
      </c>
      <c r="AE73" s="416"/>
      <c r="AF73" s="418"/>
      <c r="AG73" s="419">
        <f t="shared" si="27"/>
        <v>0</v>
      </c>
      <c r="AH73" s="416"/>
      <c r="AI73" s="418"/>
      <c r="AJ73" s="419">
        <f t="shared" si="28"/>
        <v>0</v>
      </c>
      <c r="AK73" s="416"/>
      <c r="AL73" s="418"/>
      <c r="AM73" s="419">
        <f t="shared" si="29"/>
        <v>0</v>
      </c>
      <c r="AN73" s="416"/>
      <c r="AO73" s="418"/>
      <c r="AP73" s="419">
        <f t="shared" si="30"/>
        <v>0</v>
      </c>
      <c r="AQ73" s="416"/>
      <c r="AR73" s="418"/>
      <c r="AS73" s="419">
        <f t="shared" si="35"/>
        <v>0</v>
      </c>
      <c r="AT73" s="455"/>
    </row>
    <row r="74" spans="1:46" s="456" customFormat="1" x14ac:dyDescent="0.25">
      <c r="A74" s="790"/>
      <c r="B74" s="792"/>
      <c r="C74" s="411" t="s">
        <v>33</v>
      </c>
      <c r="D74" s="412">
        <f t="shared" si="41"/>
        <v>0</v>
      </c>
      <c r="E74" s="413">
        <f t="shared" si="42"/>
        <v>0</v>
      </c>
      <c r="F74" s="414">
        <f t="shared" si="43"/>
        <v>0</v>
      </c>
      <c r="G74" s="415"/>
      <c r="H74" s="416"/>
      <c r="I74" s="417">
        <f t="shared" si="32"/>
        <v>0</v>
      </c>
      <c r="J74" s="416"/>
      <c r="K74" s="416"/>
      <c r="L74" s="417">
        <f t="shared" si="33"/>
        <v>0</v>
      </c>
      <c r="M74" s="416"/>
      <c r="N74" s="416"/>
      <c r="O74" s="417">
        <f t="shared" si="34"/>
        <v>0</v>
      </c>
      <c r="P74" s="416"/>
      <c r="Q74" s="418"/>
      <c r="R74" s="419">
        <f t="shared" si="22"/>
        <v>0</v>
      </c>
      <c r="S74" s="416"/>
      <c r="T74" s="418"/>
      <c r="U74" s="419">
        <f t="shared" si="23"/>
        <v>0</v>
      </c>
      <c r="V74" s="416"/>
      <c r="W74" s="418"/>
      <c r="X74" s="419">
        <f t="shared" si="24"/>
        <v>0</v>
      </c>
      <c r="Y74" s="416"/>
      <c r="Z74" s="418"/>
      <c r="AA74" s="419">
        <f t="shared" si="25"/>
        <v>0</v>
      </c>
      <c r="AB74" s="416"/>
      <c r="AC74" s="418"/>
      <c r="AD74" s="419">
        <f t="shared" si="26"/>
        <v>0</v>
      </c>
      <c r="AE74" s="416"/>
      <c r="AF74" s="418"/>
      <c r="AG74" s="419">
        <f t="shared" si="27"/>
        <v>0</v>
      </c>
      <c r="AH74" s="416"/>
      <c r="AI74" s="418"/>
      <c r="AJ74" s="419">
        <f t="shared" si="28"/>
        <v>0</v>
      </c>
      <c r="AK74" s="416"/>
      <c r="AL74" s="418"/>
      <c r="AM74" s="419">
        <f t="shared" si="29"/>
        <v>0</v>
      </c>
      <c r="AN74" s="416"/>
      <c r="AO74" s="418"/>
      <c r="AP74" s="419">
        <f t="shared" si="30"/>
        <v>0</v>
      </c>
      <c r="AQ74" s="416"/>
      <c r="AR74" s="418"/>
      <c r="AS74" s="419">
        <f t="shared" si="35"/>
        <v>0</v>
      </c>
      <c r="AT74" s="455"/>
    </row>
    <row r="75" spans="1:46" s="458" customFormat="1" ht="15.75" thickBot="1" x14ac:dyDescent="0.3">
      <c r="A75" s="791"/>
      <c r="B75" s="793"/>
      <c r="C75" s="420" t="s">
        <v>34</v>
      </c>
      <c r="D75" s="421">
        <f t="shared" si="41"/>
        <v>0</v>
      </c>
      <c r="E75" s="422">
        <f t="shared" si="42"/>
        <v>0</v>
      </c>
      <c r="F75" s="423">
        <f t="shared" si="43"/>
        <v>0</v>
      </c>
      <c r="G75" s="424"/>
      <c r="H75" s="425"/>
      <c r="I75" s="426">
        <f t="shared" si="32"/>
        <v>0</v>
      </c>
      <c r="J75" s="425"/>
      <c r="K75" s="425"/>
      <c r="L75" s="426">
        <f t="shared" si="33"/>
        <v>0</v>
      </c>
      <c r="M75" s="425"/>
      <c r="N75" s="425"/>
      <c r="O75" s="426">
        <f t="shared" si="34"/>
        <v>0</v>
      </c>
      <c r="P75" s="425"/>
      <c r="Q75" s="427"/>
      <c r="R75" s="428">
        <f t="shared" si="22"/>
        <v>0</v>
      </c>
      <c r="S75" s="425"/>
      <c r="T75" s="427"/>
      <c r="U75" s="428">
        <f t="shared" si="23"/>
        <v>0</v>
      </c>
      <c r="V75" s="425"/>
      <c r="W75" s="427"/>
      <c r="X75" s="428">
        <f t="shared" si="24"/>
        <v>0</v>
      </c>
      <c r="Y75" s="425"/>
      <c r="Z75" s="427"/>
      <c r="AA75" s="428">
        <f t="shared" si="25"/>
        <v>0</v>
      </c>
      <c r="AB75" s="425"/>
      <c r="AC75" s="427"/>
      <c r="AD75" s="428">
        <f t="shared" si="26"/>
        <v>0</v>
      </c>
      <c r="AE75" s="425"/>
      <c r="AF75" s="427"/>
      <c r="AG75" s="428">
        <f t="shared" si="27"/>
        <v>0</v>
      </c>
      <c r="AH75" s="425"/>
      <c r="AI75" s="427"/>
      <c r="AJ75" s="428">
        <f t="shared" si="28"/>
        <v>0</v>
      </c>
      <c r="AK75" s="425"/>
      <c r="AL75" s="427"/>
      <c r="AM75" s="428">
        <f t="shared" si="29"/>
        <v>0</v>
      </c>
      <c r="AN75" s="425"/>
      <c r="AO75" s="427"/>
      <c r="AP75" s="428">
        <f t="shared" si="30"/>
        <v>0</v>
      </c>
      <c r="AQ75" s="425"/>
      <c r="AR75" s="427"/>
      <c r="AS75" s="428">
        <f t="shared" si="35"/>
        <v>0</v>
      </c>
      <c r="AT75" s="457"/>
    </row>
    <row r="76" spans="1:46" s="456" customFormat="1" ht="15.75" thickBot="1" x14ac:dyDescent="0.3">
      <c r="A76" s="459"/>
      <c r="B76" s="460"/>
      <c r="C76" s="461"/>
      <c r="D76" s="460"/>
      <c r="E76" s="460"/>
      <c r="F76" s="462" t="s">
        <v>108</v>
      </c>
      <c r="G76" s="463"/>
      <c r="H76" s="463"/>
      <c r="I76" s="464"/>
      <c r="J76" s="463"/>
      <c r="K76" s="463"/>
      <c r="L76" s="464"/>
      <c r="M76" s="463"/>
      <c r="N76" s="463"/>
      <c r="O76" s="464"/>
      <c r="P76" s="463"/>
      <c r="Q76" s="465"/>
      <c r="R76" s="466"/>
      <c r="S76" s="463"/>
      <c r="T76" s="465"/>
      <c r="U76" s="466"/>
      <c r="V76" s="463"/>
      <c r="W76" s="465"/>
      <c r="X76" s="466"/>
      <c r="Y76" s="463"/>
      <c r="Z76" s="465"/>
      <c r="AA76" s="466"/>
      <c r="AB76" s="463"/>
      <c r="AC76" s="465"/>
      <c r="AD76" s="466"/>
      <c r="AE76" s="463"/>
      <c r="AF76" s="465"/>
      <c r="AG76" s="466"/>
      <c r="AH76" s="463"/>
      <c r="AI76" s="465"/>
      <c r="AJ76" s="466"/>
      <c r="AK76" s="463"/>
      <c r="AL76" s="465"/>
      <c r="AM76" s="466"/>
      <c r="AN76" s="463"/>
      <c r="AO76" s="465"/>
      <c r="AP76" s="466"/>
      <c r="AQ76" s="463"/>
      <c r="AR76" s="465"/>
      <c r="AS76" s="466"/>
      <c r="AT76" s="455"/>
    </row>
    <row r="77" spans="1:46" s="707" customFormat="1" x14ac:dyDescent="0.25">
      <c r="A77" s="808" t="s">
        <v>441</v>
      </c>
      <c r="B77" s="810" t="s">
        <v>13</v>
      </c>
      <c r="C77" s="467" t="s">
        <v>25</v>
      </c>
      <c r="D77" s="468">
        <f t="shared" ref="D77:D86" si="44">G77+J77+M77+AQ77</f>
        <v>0</v>
      </c>
      <c r="E77" s="469">
        <f t="shared" ref="E77:E86" si="45">H77+K77+N77+AR77</f>
        <v>0</v>
      </c>
      <c r="F77" s="470">
        <f t="shared" ref="F77:F86" si="46">I77+L77+O77+AS77</f>
        <v>0</v>
      </c>
      <c r="G77" s="471">
        <f t="shared" ref="G77:G106" si="47">G6</f>
        <v>0</v>
      </c>
      <c r="H77" s="472">
        <f t="shared" ref="H77:H106" si="48">H6*(1+$AT$87)</f>
        <v>0</v>
      </c>
      <c r="I77" s="473">
        <f t="shared" ref="I77:I86" si="49">H77-G77</f>
        <v>0</v>
      </c>
      <c r="J77" s="472">
        <f t="shared" ref="J77:J96" si="50">J6</f>
        <v>0</v>
      </c>
      <c r="K77" s="472">
        <f t="shared" ref="K77:K96" si="51">K6*(1+$AT$87)</f>
        <v>0</v>
      </c>
      <c r="L77" s="473">
        <f t="shared" ref="L77:L86" si="52">K77-J77</f>
        <v>0</v>
      </c>
      <c r="M77" s="472">
        <f t="shared" ref="M77:M96" si="53">M6</f>
        <v>0</v>
      </c>
      <c r="N77" s="472">
        <f t="shared" ref="N77:N96" si="54">N6*(1+$AT$87)</f>
        <v>0</v>
      </c>
      <c r="O77" s="473">
        <f t="shared" ref="O77:O86" si="55">N77-M77</f>
        <v>0</v>
      </c>
      <c r="P77" s="472">
        <f t="shared" ref="P77:P96" si="56">P6</f>
        <v>0</v>
      </c>
      <c r="Q77" s="474">
        <f t="shared" ref="Q77:Q96" si="57">Q6*(1+$AT$87)</f>
        <v>0</v>
      </c>
      <c r="R77" s="475">
        <f t="shared" ref="R77:R86" si="58">Q77-P77</f>
        <v>0</v>
      </c>
      <c r="S77" s="472">
        <f t="shared" ref="S77:S96" si="59">S6</f>
        <v>0</v>
      </c>
      <c r="T77" s="474">
        <f t="shared" ref="T77:T96" si="60">T6*(1+$AT$87)</f>
        <v>0</v>
      </c>
      <c r="U77" s="475">
        <f t="shared" ref="U77:U86" si="61">T77-S77</f>
        <v>0</v>
      </c>
      <c r="V77" s="472">
        <f t="shared" ref="V77:V96" si="62">V6</f>
        <v>0</v>
      </c>
      <c r="W77" s="474">
        <f t="shared" ref="W77:W96" si="63">W6*(1+$AT$87)</f>
        <v>0</v>
      </c>
      <c r="X77" s="475">
        <f t="shared" ref="X77:X86" si="64">W77-V77</f>
        <v>0</v>
      </c>
      <c r="Y77" s="472">
        <f t="shared" ref="Y77:Y96" si="65">Y6</f>
        <v>0</v>
      </c>
      <c r="Z77" s="474">
        <f t="shared" ref="Z77:Z96" si="66">Z6*(1+$AT$87)</f>
        <v>0</v>
      </c>
      <c r="AA77" s="475">
        <f t="shared" ref="AA77:AA86" si="67">Z77-Y77</f>
        <v>0</v>
      </c>
      <c r="AB77" s="472">
        <f t="shared" ref="AB77:AB96" si="68">AB6</f>
        <v>0</v>
      </c>
      <c r="AC77" s="474">
        <f t="shared" ref="AC77:AC96" si="69">AC6*(1+$AT$87)</f>
        <v>0</v>
      </c>
      <c r="AD77" s="475">
        <f t="shared" ref="AD77:AD86" si="70">AC77-AB77</f>
        <v>0</v>
      </c>
      <c r="AE77" s="472">
        <f t="shared" ref="AE77:AE96" si="71">AE6</f>
        <v>0</v>
      </c>
      <c r="AF77" s="474">
        <f t="shared" ref="AF77:AF96" si="72">AF6*(1+$AT$87)</f>
        <v>0</v>
      </c>
      <c r="AG77" s="475">
        <f t="shared" ref="AG77:AG86" si="73">AF77-AE77</f>
        <v>0</v>
      </c>
      <c r="AH77" s="472">
        <f t="shared" ref="AH77:AH96" si="74">AH6</f>
        <v>0</v>
      </c>
      <c r="AI77" s="474">
        <f t="shared" ref="AI77:AI96" si="75">AI6*(1+$AT$87)</f>
        <v>0</v>
      </c>
      <c r="AJ77" s="475">
        <f t="shared" ref="AJ77:AJ86" si="76">AI77-AH77</f>
        <v>0</v>
      </c>
      <c r="AK77" s="472">
        <f t="shared" ref="AK77:AK96" si="77">AK6</f>
        <v>0</v>
      </c>
      <c r="AL77" s="474">
        <f t="shared" ref="AL77:AL96" si="78">AL6*(1+$AT$87)</f>
        <v>0</v>
      </c>
      <c r="AM77" s="475">
        <f t="shared" ref="AM77:AM86" si="79">AL77-AK77</f>
        <v>0</v>
      </c>
      <c r="AN77" s="472">
        <f t="shared" ref="AN77:AN96" si="80">AN6</f>
        <v>0</v>
      </c>
      <c r="AO77" s="474">
        <f t="shared" ref="AO77:AO96" si="81">AO6*(1+$AT$87)</f>
        <v>0</v>
      </c>
      <c r="AP77" s="475">
        <f t="shared" ref="AP77:AP86" si="82">AO77-AN77</f>
        <v>0</v>
      </c>
      <c r="AQ77" s="472">
        <f t="shared" ref="AQ77:AQ96" si="83">AQ6</f>
        <v>0</v>
      </c>
      <c r="AR77" s="474">
        <f t="shared" ref="AR77:AR96" si="84">AR6*(1+$AT$87)</f>
        <v>0</v>
      </c>
      <c r="AS77" s="475">
        <f t="shared" ref="AS77:AS86" si="85">AR77-AQ77</f>
        <v>0</v>
      </c>
      <c r="AT77" s="476" t="e">
        <f>'Analyza citlivosti - AgendovéIS'!#REF!</f>
        <v>#REF!</v>
      </c>
    </row>
    <row r="78" spans="1:46" s="707" customFormat="1" x14ac:dyDescent="0.25">
      <c r="A78" s="808"/>
      <c r="B78" s="810"/>
      <c r="C78" s="467" t="s">
        <v>26</v>
      </c>
      <c r="D78" s="468">
        <f t="shared" si="44"/>
        <v>0</v>
      </c>
      <c r="E78" s="469">
        <f t="shared" si="45"/>
        <v>0</v>
      </c>
      <c r="F78" s="470">
        <f t="shared" si="46"/>
        <v>0</v>
      </c>
      <c r="G78" s="477">
        <f t="shared" si="47"/>
        <v>0</v>
      </c>
      <c r="H78" s="478">
        <f t="shared" si="48"/>
        <v>0</v>
      </c>
      <c r="I78" s="417">
        <f t="shared" si="49"/>
        <v>0</v>
      </c>
      <c r="J78" s="478">
        <f t="shared" si="50"/>
        <v>0</v>
      </c>
      <c r="K78" s="478">
        <f t="shared" si="51"/>
        <v>0</v>
      </c>
      <c r="L78" s="417">
        <f t="shared" si="52"/>
        <v>0</v>
      </c>
      <c r="M78" s="478">
        <f t="shared" si="53"/>
        <v>0</v>
      </c>
      <c r="N78" s="478">
        <f t="shared" si="54"/>
        <v>0</v>
      </c>
      <c r="O78" s="417">
        <f t="shared" si="55"/>
        <v>0</v>
      </c>
      <c r="P78" s="478">
        <f t="shared" si="56"/>
        <v>0</v>
      </c>
      <c r="Q78" s="479">
        <f t="shared" si="57"/>
        <v>0</v>
      </c>
      <c r="R78" s="419">
        <f t="shared" si="58"/>
        <v>0</v>
      </c>
      <c r="S78" s="478">
        <f t="shared" si="59"/>
        <v>0</v>
      </c>
      <c r="T78" s="479">
        <f t="shared" si="60"/>
        <v>0</v>
      </c>
      <c r="U78" s="419">
        <f t="shared" si="61"/>
        <v>0</v>
      </c>
      <c r="V78" s="478">
        <f t="shared" si="62"/>
        <v>0</v>
      </c>
      <c r="W78" s="479">
        <f t="shared" si="63"/>
        <v>0</v>
      </c>
      <c r="X78" s="419">
        <f t="shared" si="64"/>
        <v>0</v>
      </c>
      <c r="Y78" s="478">
        <f t="shared" si="65"/>
        <v>0</v>
      </c>
      <c r="Z78" s="479">
        <f t="shared" si="66"/>
        <v>0</v>
      </c>
      <c r="AA78" s="419">
        <f t="shared" si="67"/>
        <v>0</v>
      </c>
      <c r="AB78" s="478">
        <f t="shared" si="68"/>
        <v>0</v>
      </c>
      <c r="AC78" s="479">
        <f t="shared" si="69"/>
        <v>0</v>
      </c>
      <c r="AD78" s="419">
        <f t="shared" si="70"/>
        <v>0</v>
      </c>
      <c r="AE78" s="478">
        <f t="shared" si="71"/>
        <v>0</v>
      </c>
      <c r="AF78" s="479">
        <f t="shared" si="72"/>
        <v>0</v>
      </c>
      <c r="AG78" s="419">
        <f t="shared" si="73"/>
        <v>0</v>
      </c>
      <c r="AH78" s="478">
        <f t="shared" si="74"/>
        <v>0</v>
      </c>
      <c r="AI78" s="479">
        <f t="shared" si="75"/>
        <v>0</v>
      </c>
      <c r="AJ78" s="419">
        <f t="shared" si="76"/>
        <v>0</v>
      </c>
      <c r="AK78" s="478">
        <f t="shared" si="77"/>
        <v>0</v>
      </c>
      <c r="AL78" s="479">
        <f t="shared" si="78"/>
        <v>0</v>
      </c>
      <c r="AM78" s="419">
        <f t="shared" si="79"/>
        <v>0</v>
      </c>
      <c r="AN78" s="478">
        <f t="shared" si="80"/>
        <v>0</v>
      </c>
      <c r="AO78" s="479">
        <f t="shared" si="81"/>
        <v>0</v>
      </c>
      <c r="AP78" s="419">
        <f t="shared" si="82"/>
        <v>0</v>
      </c>
      <c r="AQ78" s="478">
        <f t="shared" si="83"/>
        <v>0</v>
      </c>
      <c r="AR78" s="479">
        <f t="shared" si="84"/>
        <v>0</v>
      </c>
      <c r="AS78" s="419">
        <f t="shared" si="85"/>
        <v>0</v>
      </c>
      <c r="AT78" s="491"/>
    </row>
    <row r="79" spans="1:46" s="707" customFormat="1" x14ac:dyDescent="0.25">
      <c r="A79" s="808"/>
      <c r="B79" s="810"/>
      <c r="C79" s="467" t="s">
        <v>27</v>
      </c>
      <c r="D79" s="468">
        <f t="shared" si="44"/>
        <v>5776724</v>
      </c>
      <c r="E79" s="469">
        <f t="shared" si="45"/>
        <v>4332542.9950000001</v>
      </c>
      <c r="F79" s="470">
        <f t="shared" si="46"/>
        <v>-1444181.0049999999</v>
      </c>
      <c r="G79" s="477">
        <f t="shared" si="47"/>
        <v>5776724</v>
      </c>
      <c r="H79" s="478">
        <f t="shared" si="48"/>
        <v>4332542.9950000001</v>
      </c>
      <c r="I79" s="417">
        <f t="shared" si="49"/>
        <v>-1444181.0049999999</v>
      </c>
      <c r="J79" s="478">
        <f t="shared" si="50"/>
        <v>0</v>
      </c>
      <c r="K79" s="478">
        <f t="shared" si="51"/>
        <v>0</v>
      </c>
      <c r="L79" s="417">
        <f t="shared" si="52"/>
        <v>0</v>
      </c>
      <c r="M79" s="478">
        <f t="shared" si="53"/>
        <v>0</v>
      </c>
      <c r="N79" s="478">
        <f t="shared" si="54"/>
        <v>0</v>
      </c>
      <c r="O79" s="417">
        <f t="shared" si="55"/>
        <v>0</v>
      </c>
      <c r="P79" s="478">
        <f t="shared" si="56"/>
        <v>0</v>
      </c>
      <c r="Q79" s="479">
        <f t="shared" si="57"/>
        <v>0</v>
      </c>
      <c r="R79" s="419">
        <f t="shared" si="58"/>
        <v>0</v>
      </c>
      <c r="S79" s="478">
        <f t="shared" si="59"/>
        <v>0</v>
      </c>
      <c r="T79" s="479">
        <f t="shared" si="60"/>
        <v>0</v>
      </c>
      <c r="U79" s="419">
        <f t="shared" si="61"/>
        <v>0</v>
      </c>
      <c r="V79" s="478">
        <f t="shared" si="62"/>
        <v>0</v>
      </c>
      <c r="W79" s="479">
        <f t="shared" si="63"/>
        <v>0</v>
      </c>
      <c r="X79" s="419">
        <f t="shared" si="64"/>
        <v>0</v>
      </c>
      <c r="Y79" s="478">
        <f t="shared" si="65"/>
        <v>0</v>
      </c>
      <c r="Z79" s="479">
        <f t="shared" si="66"/>
        <v>0</v>
      </c>
      <c r="AA79" s="419">
        <f t="shared" si="67"/>
        <v>0</v>
      </c>
      <c r="AB79" s="478">
        <f t="shared" si="68"/>
        <v>0</v>
      </c>
      <c r="AC79" s="479">
        <f t="shared" si="69"/>
        <v>0</v>
      </c>
      <c r="AD79" s="419">
        <f t="shared" si="70"/>
        <v>0</v>
      </c>
      <c r="AE79" s="478">
        <f t="shared" si="71"/>
        <v>0</v>
      </c>
      <c r="AF79" s="479">
        <f t="shared" si="72"/>
        <v>0</v>
      </c>
      <c r="AG79" s="419">
        <f t="shared" si="73"/>
        <v>0</v>
      </c>
      <c r="AH79" s="478">
        <f t="shared" si="74"/>
        <v>0</v>
      </c>
      <c r="AI79" s="479">
        <f t="shared" si="75"/>
        <v>0</v>
      </c>
      <c r="AJ79" s="419">
        <f t="shared" si="76"/>
        <v>0</v>
      </c>
      <c r="AK79" s="478">
        <f t="shared" si="77"/>
        <v>0</v>
      </c>
      <c r="AL79" s="479">
        <f t="shared" si="78"/>
        <v>0</v>
      </c>
      <c r="AM79" s="419">
        <f t="shared" si="79"/>
        <v>0</v>
      </c>
      <c r="AN79" s="478">
        <f t="shared" si="80"/>
        <v>0</v>
      </c>
      <c r="AO79" s="479">
        <f t="shared" si="81"/>
        <v>0</v>
      </c>
      <c r="AP79" s="419">
        <f t="shared" si="82"/>
        <v>0</v>
      </c>
      <c r="AQ79" s="478">
        <f t="shared" si="83"/>
        <v>0</v>
      </c>
      <c r="AR79" s="479">
        <f t="shared" si="84"/>
        <v>0</v>
      </c>
      <c r="AS79" s="419">
        <f t="shared" si="85"/>
        <v>0</v>
      </c>
      <c r="AT79" s="491"/>
    </row>
    <row r="80" spans="1:46" s="707" customFormat="1" x14ac:dyDescent="0.25">
      <c r="A80" s="808"/>
      <c r="B80" s="810"/>
      <c r="C80" s="467" t="s">
        <v>28</v>
      </c>
      <c r="D80" s="468">
        <f t="shared" si="44"/>
        <v>11553448</v>
      </c>
      <c r="E80" s="469">
        <f t="shared" si="45"/>
        <v>8665085.9900000002</v>
      </c>
      <c r="F80" s="470">
        <f t="shared" si="46"/>
        <v>-2888362.01</v>
      </c>
      <c r="G80" s="477">
        <f t="shared" si="47"/>
        <v>11553448</v>
      </c>
      <c r="H80" s="478">
        <f t="shared" si="48"/>
        <v>8665085.9900000002</v>
      </c>
      <c r="I80" s="417">
        <f t="shared" si="49"/>
        <v>-2888362.01</v>
      </c>
      <c r="J80" s="478">
        <f t="shared" si="50"/>
        <v>0</v>
      </c>
      <c r="K80" s="478">
        <f t="shared" si="51"/>
        <v>0</v>
      </c>
      <c r="L80" s="417">
        <f t="shared" si="52"/>
        <v>0</v>
      </c>
      <c r="M80" s="478">
        <f t="shared" si="53"/>
        <v>0</v>
      </c>
      <c r="N80" s="478">
        <f t="shared" si="54"/>
        <v>0</v>
      </c>
      <c r="O80" s="417">
        <f t="shared" si="55"/>
        <v>0</v>
      </c>
      <c r="P80" s="478">
        <f t="shared" si="56"/>
        <v>0</v>
      </c>
      <c r="Q80" s="479">
        <f t="shared" si="57"/>
        <v>0</v>
      </c>
      <c r="R80" s="419">
        <f t="shared" si="58"/>
        <v>0</v>
      </c>
      <c r="S80" s="478">
        <f t="shared" si="59"/>
        <v>0</v>
      </c>
      <c r="T80" s="479">
        <f t="shared" si="60"/>
        <v>0</v>
      </c>
      <c r="U80" s="419">
        <f t="shared" si="61"/>
        <v>0</v>
      </c>
      <c r="V80" s="478">
        <f t="shared" si="62"/>
        <v>0</v>
      </c>
      <c r="W80" s="479">
        <f t="shared" si="63"/>
        <v>0</v>
      </c>
      <c r="X80" s="419">
        <f t="shared" si="64"/>
        <v>0</v>
      </c>
      <c r="Y80" s="478">
        <f t="shared" si="65"/>
        <v>0</v>
      </c>
      <c r="Z80" s="479">
        <f t="shared" si="66"/>
        <v>0</v>
      </c>
      <c r="AA80" s="419">
        <f t="shared" si="67"/>
        <v>0</v>
      </c>
      <c r="AB80" s="478">
        <f t="shared" si="68"/>
        <v>0</v>
      </c>
      <c r="AC80" s="479">
        <f t="shared" si="69"/>
        <v>0</v>
      </c>
      <c r="AD80" s="419">
        <f t="shared" si="70"/>
        <v>0</v>
      </c>
      <c r="AE80" s="478">
        <f t="shared" si="71"/>
        <v>0</v>
      </c>
      <c r="AF80" s="479">
        <f t="shared" si="72"/>
        <v>0</v>
      </c>
      <c r="AG80" s="419">
        <f t="shared" si="73"/>
        <v>0</v>
      </c>
      <c r="AH80" s="478">
        <f t="shared" si="74"/>
        <v>0</v>
      </c>
      <c r="AI80" s="479">
        <f t="shared" si="75"/>
        <v>0</v>
      </c>
      <c r="AJ80" s="419">
        <f t="shared" si="76"/>
        <v>0</v>
      </c>
      <c r="AK80" s="478">
        <f t="shared" si="77"/>
        <v>0</v>
      </c>
      <c r="AL80" s="479">
        <f t="shared" si="78"/>
        <v>0</v>
      </c>
      <c r="AM80" s="419">
        <f t="shared" si="79"/>
        <v>0</v>
      </c>
      <c r="AN80" s="478">
        <f t="shared" si="80"/>
        <v>0</v>
      </c>
      <c r="AO80" s="479">
        <f t="shared" si="81"/>
        <v>0</v>
      </c>
      <c r="AP80" s="419">
        <f t="shared" si="82"/>
        <v>0</v>
      </c>
      <c r="AQ80" s="478">
        <f t="shared" si="83"/>
        <v>0</v>
      </c>
      <c r="AR80" s="479">
        <f t="shared" si="84"/>
        <v>0</v>
      </c>
      <c r="AS80" s="419">
        <f t="shared" si="85"/>
        <v>0</v>
      </c>
      <c r="AT80" s="491"/>
    </row>
    <row r="81" spans="1:46" s="707" customFormat="1" x14ac:dyDescent="0.25">
      <c r="A81" s="808"/>
      <c r="B81" s="810"/>
      <c r="C81" s="467" t="s">
        <v>29</v>
      </c>
      <c r="D81" s="468">
        <f t="shared" si="44"/>
        <v>11553448</v>
      </c>
      <c r="E81" s="469">
        <f t="shared" si="45"/>
        <v>8665085.9900000002</v>
      </c>
      <c r="F81" s="470">
        <f t="shared" si="46"/>
        <v>-2888362.01</v>
      </c>
      <c r="G81" s="477">
        <f t="shared" si="47"/>
        <v>11553448</v>
      </c>
      <c r="H81" s="478">
        <f t="shared" si="48"/>
        <v>8665085.9900000002</v>
      </c>
      <c r="I81" s="417">
        <f t="shared" si="49"/>
        <v>-2888362.01</v>
      </c>
      <c r="J81" s="478">
        <f t="shared" si="50"/>
        <v>0</v>
      </c>
      <c r="K81" s="478">
        <f t="shared" si="51"/>
        <v>0</v>
      </c>
      <c r="L81" s="417">
        <f t="shared" si="52"/>
        <v>0</v>
      </c>
      <c r="M81" s="478">
        <f t="shared" si="53"/>
        <v>0</v>
      </c>
      <c r="N81" s="478">
        <f t="shared" si="54"/>
        <v>0</v>
      </c>
      <c r="O81" s="417">
        <f t="shared" si="55"/>
        <v>0</v>
      </c>
      <c r="P81" s="478">
        <f t="shared" si="56"/>
        <v>0</v>
      </c>
      <c r="Q81" s="479">
        <f t="shared" si="57"/>
        <v>0</v>
      </c>
      <c r="R81" s="419">
        <f t="shared" si="58"/>
        <v>0</v>
      </c>
      <c r="S81" s="478">
        <f t="shared" si="59"/>
        <v>0</v>
      </c>
      <c r="T81" s="479">
        <f t="shared" si="60"/>
        <v>0</v>
      </c>
      <c r="U81" s="419">
        <f t="shared" si="61"/>
        <v>0</v>
      </c>
      <c r="V81" s="478">
        <f t="shared" si="62"/>
        <v>0</v>
      </c>
      <c r="W81" s="479">
        <f t="shared" si="63"/>
        <v>0</v>
      </c>
      <c r="X81" s="419">
        <f t="shared" si="64"/>
        <v>0</v>
      </c>
      <c r="Y81" s="478">
        <f t="shared" si="65"/>
        <v>0</v>
      </c>
      <c r="Z81" s="479">
        <f t="shared" si="66"/>
        <v>0</v>
      </c>
      <c r="AA81" s="419">
        <f t="shared" si="67"/>
        <v>0</v>
      </c>
      <c r="AB81" s="478">
        <f t="shared" si="68"/>
        <v>0</v>
      </c>
      <c r="AC81" s="479">
        <f t="shared" si="69"/>
        <v>0</v>
      </c>
      <c r="AD81" s="419">
        <f t="shared" si="70"/>
        <v>0</v>
      </c>
      <c r="AE81" s="478">
        <f t="shared" si="71"/>
        <v>0</v>
      </c>
      <c r="AF81" s="479">
        <f t="shared" si="72"/>
        <v>0</v>
      </c>
      <c r="AG81" s="419">
        <f t="shared" si="73"/>
        <v>0</v>
      </c>
      <c r="AH81" s="478">
        <f t="shared" si="74"/>
        <v>0</v>
      </c>
      <c r="AI81" s="479">
        <f t="shared" si="75"/>
        <v>0</v>
      </c>
      <c r="AJ81" s="419">
        <f t="shared" si="76"/>
        <v>0</v>
      </c>
      <c r="AK81" s="478">
        <f t="shared" si="77"/>
        <v>0</v>
      </c>
      <c r="AL81" s="479">
        <f t="shared" si="78"/>
        <v>0</v>
      </c>
      <c r="AM81" s="419">
        <f t="shared" si="79"/>
        <v>0</v>
      </c>
      <c r="AN81" s="478">
        <f t="shared" si="80"/>
        <v>0</v>
      </c>
      <c r="AO81" s="479">
        <f t="shared" si="81"/>
        <v>0</v>
      </c>
      <c r="AP81" s="419">
        <f t="shared" si="82"/>
        <v>0</v>
      </c>
      <c r="AQ81" s="478">
        <f t="shared" si="83"/>
        <v>0</v>
      </c>
      <c r="AR81" s="479">
        <f t="shared" si="84"/>
        <v>0</v>
      </c>
      <c r="AS81" s="419">
        <f t="shared" si="85"/>
        <v>0</v>
      </c>
      <c r="AT81" s="491"/>
    </row>
    <row r="82" spans="1:46" s="707" customFormat="1" x14ac:dyDescent="0.25">
      <c r="A82" s="808"/>
      <c r="B82" s="810"/>
      <c r="C82" s="467" t="s">
        <v>30</v>
      </c>
      <c r="D82" s="468">
        <f t="shared" si="44"/>
        <v>11553448</v>
      </c>
      <c r="E82" s="469">
        <f t="shared" si="45"/>
        <v>8665085.9900000002</v>
      </c>
      <c r="F82" s="470">
        <f t="shared" si="46"/>
        <v>-2888362.01</v>
      </c>
      <c r="G82" s="477">
        <f t="shared" si="47"/>
        <v>11553448</v>
      </c>
      <c r="H82" s="478">
        <f t="shared" si="48"/>
        <v>8665085.9900000002</v>
      </c>
      <c r="I82" s="417">
        <f t="shared" si="49"/>
        <v>-2888362.01</v>
      </c>
      <c r="J82" s="478">
        <f t="shared" si="50"/>
        <v>0</v>
      </c>
      <c r="K82" s="478">
        <f t="shared" si="51"/>
        <v>0</v>
      </c>
      <c r="L82" s="417">
        <f t="shared" si="52"/>
        <v>0</v>
      </c>
      <c r="M82" s="478">
        <f t="shared" si="53"/>
        <v>0</v>
      </c>
      <c r="N82" s="478">
        <f t="shared" si="54"/>
        <v>0</v>
      </c>
      <c r="O82" s="417">
        <f t="shared" si="55"/>
        <v>0</v>
      </c>
      <c r="P82" s="478">
        <f t="shared" si="56"/>
        <v>0</v>
      </c>
      <c r="Q82" s="479">
        <f t="shared" si="57"/>
        <v>0</v>
      </c>
      <c r="R82" s="419">
        <f t="shared" si="58"/>
        <v>0</v>
      </c>
      <c r="S82" s="478">
        <f t="shared" si="59"/>
        <v>0</v>
      </c>
      <c r="T82" s="479">
        <f t="shared" si="60"/>
        <v>0</v>
      </c>
      <c r="U82" s="419">
        <f t="shared" si="61"/>
        <v>0</v>
      </c>
      <c r="V82" s="478">
        <f t="shared" si="62"/>
        <v>0</v>
      </c>
      <c r="W82" s="479">
        <f t="shared" si="63"/>
        <v>0</v>
      </c>
      <c r="X82" s="419">
        <f t="shared" si="64"/>
        <v>0</v>
      </c>
      <c r="Y82" s="478">
        <f t="shared" si="65"/>
        <v>0</v>
      </c>
      <c r="Z82" s="479">
        <f t="shared" si="66"/>
        <v>0</v>
      </c>
      <c r="AA82" s="419">
        <f t="shared" si="67"/>
        <v>0</v>
      </c>
      <c r="AB82" s="478">
        <f t="shared" si="68"/>
        <v>0</v>
      </c>
      <c r="AC82" s="479">
        <f t="shared" si="69"/>
        <v>0</v>
      </c>
      <c r="AD82" s="419">
        <f t="shared" si="70"/>
        <v>0</v>
      </c>
      <c r="AE82" s="478">
        <f t="shared" si="71"/>
        <v>0</v>
      </c>
      <c r="AF82" s="479">
        <f t="shared" si="72"/>
        <v>0</v>
      </c>
      <c r="AG82" s="419">
        <f t="shared" si="73"/>
        <v>0</v>
      </c>
      <c r="AH82" s="478">
        <f t="shared" si="74"/>
        <v>0</v>
      </c>
      <c r="AI82" s="479">
        <f t="shared" si="75"/>
        <v>0</v>
      </c>
      <c r="AJ82" s="419">
        <f t="shared" si="76"/>
        <v>0</v>
      </c>
      <c r="AK82" s="478">
        <f t="shared" si="77"/>
        <v>0</v>
      </c>
      <c r="AL82" s="479">
        <f t="shared" si="78"/>
        <v>0</v>
      </c>
      <c r="AM82" s="419">
        <f t="shared" si="79"/>
        <v>0</v>
      </c>
      <c r="AN82" s="478">
        <f t="shared" si="80"/>
        <v>0</v>
      </c>
      <c r="AO82" s="479">
        <f t="shared" si="81"/>
        <v>0</v>
      </c>
      <c r="AP82" s="419">
        <f t="shared" si="82"/>
        <v>0</v>
      </c>
      <c r="AQ82" s="478">
        <f t="shared" si="83"/>
        <v>0</v>
      </c>
      <c r="AR82" s="479">
        <f t="shared" si="84"/>
        <v>0</v>
      </c>
      <c r="AS82" s="419">
        <f t="shared" si="85"/>
        <v>0</v>
      </c>
      <c r="AT82" s="491"/>
    </row>
    <row r="83" spans="1:46" s="707" customFormat="1" x14ac:dyDescent="0.25">
      <c r="A83" s="808"/>
      <c r="B83" s="810"/>
      <c r="C83" s="467" t="s">
        <v>31</v>
      </c>
      <c r="D83" s="468">
        <f t="shared" si="44"/>
        <v>11553448</v>
      </c>
      <c r="E83" s="469">
        <f t="shared" si="45"/>
        <v>8665085.9900000002</v>
      </c>
      <c r="F83" s="470">
        <f t="shared" si="46"/>
        <v>-2888362.01</v>
      </c>
      <c r="G83" s="477">
        <f t="shared" si="47"/>
        <v>11553448</v>
      </c>
      <c r="H83" s="478">
        <f t="shared" si="48"/>
        <v>8665085.9900000002</v>
      </c>
      <c r="I83" s="417">
        <f t="shared" si="49"/>
        <v>-2888362.01</v>
      </c>
      <c r="J83" s="478">
        <f t="shared" si="50"/>
        <v>0</v>
      </c>
      <c r="K83" s="478">
        <f t="shared" si="51"/>
        <v>0</v>
      </c>
      <c r="L83" s="417">
        <f t="shared" si="52"/>
        <v>0</v>
      </c>
      <c r="M83" s="478">
        <f t="shared" si="53"/>
        <v>0</v>
      </c>
      <c r="N83" s="478">
        <f t="shared" si="54"/>
        <v>0</v>
      </c>
      <c r="O83" s="417">
        <f t="shared" si="55"/>
        <v>0</v>
      </c>
      <c r="P83" s="478">
        <f t="shared" si="56"/>
        <v>0</v>
      </c>
      <c r="Q83" s="479">
        <f t="shared" si="57"/>
        <v>0</v>
      </c>
      <c r="R83" s="419">
        <f t="shared" si="58"/>
        <v>0</v>
      </c>
      <c r="S83" s="478">
        <f t="shared" si="59"/>
        <v>0</v>
      </c>
      <c r="T83" s="479">
        <f t="shared" si="60"/>
        <v>0</v>
      </c>
      <c r="U83" s="419">
        <f t="shared" si="61"/>
        <v>0</v>
      </c>
      <c r="V83" s="478">
        <f t="shared" si="62"/>
        <v>0</v>
      </c>
      <c r="W83" s="479">
        <f t="shared" si="63"/>
        <v>0</v>
      </c>
      <c r="X83" s="419">
        <f t="shared" si="64"/>
        <v>0</v>
      </c>
      <c r="Y83" s="478">
        <f t="shared" si="65"/>
        <v>0</v>
      </c>
      <c r="Z83" s="479">
        <f t="shared" si="66"/>
        <v>0</v>
      </c>
      <c r="AA83" s="419">
        <f t="shared" si="67"/>
        <v>0</v>
      </c>
      <c r="AB83" s="478">
        <f t="shared" si="68"/>
        <v>0</v>
      </c>
      <c r="AC83" s="479">
        <f t="shared" si="69"/>
        <v>0</v>
      </c>
      <c r="AD83" s="419">
        <f t="shared" si="70"/>
        <v>0</v>
      </c>
      <c r="AE83" s="478">
        <f t="shared" si="71"/>
        <v>0</v>
      </c>
      <c r="AF83" s="479">
        <f t="shared" si="72"/>
        <v>0</v>
      </c>
      <c r="AG83" s="419">
        <f t="shared" si="73"/>
        <v>0</v>
      </c>
      <c r="AH83" s="478">
        <f t="shared" si="74"/>
        <v>0</v>
      </c>
      <c r="AI83" s="479">
        <f t="shared" si="75"/>
        <v>0</v>
      </c>
      <c r="AJ83" s="419">
        <f t="shared" si="76"/>
        <v>0</v>
      </c>
      <c r="AK83" s="478">
        <f t="shared" si="77"/>
        <v>0</v>
      </c>
      <c r="AL83" s="479">
        <f t="shared" si="78"/>
        <v>0</v>
      </c>
      <c r="AM83" s="419">
        <f t="shared" si="79"/>
        <v>0</v>
      </c>
      <c r="AN83" s="478">
        <f t="shared" si="80"/>
        <v>0</v>
      </c>
      <c r="AO83" s="479">
        <f t="shared" si="81"/>
        <v>0</v>
      </c>
      <c r="AP83" s="419">
        <f t="shared" si="82"/>
        <v>0</v>
      </c>
      <c r="AQ83" s="478">
        <f t="shared" si="83"/>
        <v>0</v>
      </c>
      <c r="AR83" s="479">
        <f t="shared" si="84"/>
        <v>0</v>
      </c>
      <c r="AS83" s="419">
        <f t="shared" si="85"/>
        <v>0</v>
      </c>
      <c r="AT83" s="491"/>
    </row>
    <row r="84" spans="1:46" s="707" customFormat="1" x14ac:dyDescent="0.25">
      <c r="A84" s="808"/>
      <c r="B84" s="810"/>
      <c r="C84" s="467" t="s">
        <v>32</v>
      </c>
      <c r="D84" s="468">
        <f t="shared" si="44"/>
        <v>11553448</v>
      </c>
      <c r="E84" s="469">
        <f t="shared" si="45"/>
        <v>8665085.9900000002</v>
      </c>
      <c r="F84" s="470">
        <f t="shared" si="46"/>
        <v>-2888362.01</v>
      </c>
      <c r="G84" s="477">
        <f t="shared" si="47"/>
        <v>11553448</v>
      </c>
      <c r="H84" s="478">
        <f t="shared" si="48"/>
        <v>8665085.9900000002</v>
      </c>
      <c r="I84" s="417">
        <f t="shared" si="49"/>
        <v>-2888362.01</v>
      </c>
      <c r="J84" s="478">
        <f t="shared" si="50"/>
        <v>0</v>
      </c>
      <c r="K84" s="478">
        <f t="shared" si="51"/>
        <v>0</v>
      </c>
      <c r="L84" s="417">
        <f t="shared" si="52"/>
        <v>0</v>
      </c>
      <c r="M84" s="478">
        <f t="shared" si="53"/>
        <v>0</v>
      </c>
      <c r="N84" s="478">
        <f t="shared" si="54"/>
        <v>0</v>
      </c>
      <c r="O84" s="417">
        <f t="shared" si="55"/>
        <v>0</v>
      </c>
      <c r="P84" s="478">
        <f t="shared" si="56"/>
        <v>0</v>
      </c>
      <c r="Q84" s="479">
        <f t="shared" si="57"/>
        <v>0</v>
      </c>
      <c r="R84" s="419">
        <f t="shared" si="58"/>
        <v>0</v>
      </c>
      <c r="S84" s="478">
        <f t="shared" si="59"/>
        <v>0</v>
      </c>
      <c r="T84" s="479">
        <f t="shared" si="60"/>
        <v>0</v>
      </c>
      <c r="U84" s="419">
        <f t="shared" si="61"/>
        <v>0</v>
      </c>
      <c r="V84" s="478">
        <f t="shared" si="62"/>
        <v>0</v>
      </c>
      <c r="W84" s="479">
        <f t="shared" si="63"/>
        <v>0</v>
      </c>
      <c r="X84" s="419">
        <f t="shared" si="64"/>
        <v>0</v>
      </c>
      <c r="Y84" s="478">
        <f t="shared" si="65"/>
        <v>0</v>
      </c>
      <c r="Z84" s="479">
        <f t="shared" si="66"/>
        <v>0</v>
      </c>
      <c r="AA84" s="419">
        <f t="shared" si="67"/>
        <v>0</v>
      </c>
      <c r="AB84" s="478">
        <f t="shared" si="68"/>
        <v>0</v>
      </c>
      <c r="AC84" s="479">
        <f t="shared" si="69"/>
        <v>0</v>
      </c>
      <c r="AD84" s="419">
        <f t="shared" si="70"/>
        <v>0</v>
      </c>
      <c r="AE84" s="478">
        <f t="shared" si="71"/>
        <v>0</v>
      </c>
      <c r="AF84" s="479">
        <f t="shared" si="72"/>
        <v>0</v>
      </c>
      <c r="AG84" s="419">
        <f t="shared" si="73"/>
        <v>0</v>
      </c>
      <c r="AH84" s="478">
        <f t="shared" si="74"/>
        <v>0</v>
      </c>
      <c r="AI84" s="479">
        <f t="shared" si="75"/>
        <v>0</v>
      </c>
      <c r="AJ84" s="419">
        <f t="shared" si="76"/>
        <v>0</v>
      </c>
      <c r="AK84" s="478">
        <f t="shared" si="77"/>
        <v>0</v>
      </c>
      <c r="AL84" s="479">
        <f t="shared" si="78"/>
        <v>0</v>
      </c>
      <c r="AM84" s="419">
        <f t="shared" si="79"/>
        <v>0</v>
      </c>
      <c r="AN84" s="478">
        <f t="shared" si="80"/>
        <v>0</v>
      </c>
      <c r="AO84" s="479">
        <f t="shared" si="81"/>
        <v>0</v>
      </c>
      <c r="AP84" s="419">
        <f t="shared" si="82"/>
        <v>0</v>
      </c>
      <c r="AQ84" s="478">
        <f t="shared" si="83"/>
        <v>0</v>
      </c>
      <c r="AR84" s="479">
        <f t="shared" si="84"/>
        <v>0</v>
      </c>
      <c r="AS84" s="419">
        <f t="shared" si="85"/>
        <v>0</v>
      </c>
      <c r="AT84" s="491"/>
    </row>
    <row r="85" spans="1:46" s="707" customFormat="1" x14ac:dyDescent="0.25">
      <c r="A85" s="808"/>
      <c r="B85" s="810"/>
      <c r="C85" s="467" t="s">
        <v>33</v>
      </c>
      <c r="D85" s="468">
        <f t="shared" si="44"/>
        <v>11553448</v>
      </c>
      <c r="E85" s="469">
        <f t="shared" si="45"/>
        <v>8665085.9900000002</v>
      </c>
      <c r="F85" s="470">
        <f t="shared" si="46"/>
        <v>-2888362.01</v>
      </c>
      <c r="G85" s="477">
        <f t="shared" si="47"/>
        <v>11553448</v>
      </c>
      <c r="H85" s="478">
        <f t="shared" si="48"/>
        <v>8665085.9900000002</v>
      </c>
      <c r="I85" s="417">
        <f t="shared" si="49"/>
        <v>-2888362.01</v>
      </c>
      <c r="J85" s="478">
        <f t="shared" si="50"/>
        <v>0</v>
      </c>
      <c r="K85" s="478">
        <f t="shared" si="51"/>
        <v>0</v>
      </c>
      <c r="L85" s="417">
        <f t="shared" si="52"/>
        <v>0</v>
      </c>
      <c r="M85" s="478">
        <f t="shared" si="53"/>
        <v>0</v>
      </c>
      <c r="N85" s="478">
        <f t="shared" si="54"/>
        <v>0</v>
      </c>
      <c r="O85" s="417">
        <f t="shared" si="55"/>
        <v>0</v>
      </c>
      <c r="P85" s="478">
        <f t="shared" si="56"/>
        <v>0</v>
      </c>
      <c r="Q85" s="479">
        <f t="shared" si="57"/>
        <v>0</v>
      </c>
      <c r="R85" s="419">
        <f t="shared" si="58"/>
        <v>0</v>
      </c>
      <c r="S85" s="478">
        <f t="shared" si="59"/>
        <v>0</v>
      </c>
      <c r="T85" s="479">
        <f t="shared" si="60"/>
        <v>0</v>
      </c>
      <c r="U85" s="419">
        <f t="shared" si="61"/>
        <v>0</v>
      </c>
      <c r="V85" s="478">
        <f t="shared" si="62"/>
        <v>0</v>
      </c>
      <c r="W85" s="479">
        <f t="shared" si="63"/>
        <v>0</v>
      </c>
      <c r="X85" s="419">
        <f t="shared" si="64"/>
        <v>0</v>
      </c>
      <c r="Y85" s="478">
        <f t="shared" si="65"/>
        <v>0</v>
      </c>
      <c r="Z85" s="479">
        <f t="shared" si="66"/>
        <v>0</v>
      </c>
      <c r="AA85" s="419">
        <f t="shared" si="67"/>
        <v>0</v>
      </c>
      <c r="AB85" s="478">
        <f t="shared" si="68"/>
        <v>0</v>
      </c>
      <c r="AC85" s="479">
        <f t="shared" si="69"/>
        <v>0</v>
      </c>
      <c r="AD85" s="419">
        <f t="shared" si="70"/>
        <v>0</v>
      </c>
      <c r="AE85" s="478">
        <f t="shared" si="71"/>
        <v>0</v>
      </c>
      <c r="AF85" s="479">
        <f t="shared" si="72"/>
        <v>0</v>
      </c>
      <c r="AG85" s="419">
        <f t="shared" si="73"/>
        <v>0</v>
      </c>
      <c r="AH85" s="478">
        <f t="shared" si="74"/>
        <v>0</v>
      </c>
      <c r="AI85" s="479">
        <f t="shared" si="75"/>
        <v>0</v>
      </c>
      <c r="AJ85" s="419">
        <f t="shared" si="76"/>
        <v>0</v>
      </c>
      <c r="AK85" s="478">
        <f t="shared" si="77"/>
        <v>0</v>
      </c>
      <c r="AL85" s="479">
        <f t="shared" si="78"/>
        <v>0</v>
      </c>
      <c r="AM85" s="419">
        <f t="shared" si="79"/>
        <v>0</v>
      </c>
      <c r="AN85" s="478">
        <f t="shared" si="80"/>
        <v>0</v>
      </c>
      <c r="AO85" s="479">
        <f t="shared" si="81"/>
        <v>0</v>
      </c>
      <c r="AP85" s="419">
        <f t="shared" si="82"/>
        <v>0</v>
      </c>
      <c r="AQ85" s="478">
        <f t="shared" si="83"/>
        <v>0</v>
      </c>
      <c r="AR85" s="479">
        <f t="shared" si="84"/>
        <v>0</v>
      </c>
      <c r="AS85" s="419">
        <f t="shared" si="85"/>
        <v>0</v>
      </c>
      <c r="AT85" s="491"/>
    </row>
    <row r="86" spans="1:46" s="707" customFormat="1" ht="15.75" thickBot="1" x14ac:dyDescent="0.3">
      <c r="A86" s="809"/>
      <c r="B86" s="811"/>
      <c r="C86" s="480" t="s">
        <v>34</v>
      </c>
      <c r="D86" s="481">
        <f t="shared" si="44"/>
        <v>11553448</v>
      </c>
      <c r="E86" s="482">
        <f t="shared" si="45"/>
        <v>8665085.9900000002</v>
      </c>
      <c r="F86" s="483">
        <f t="shared" si="46"/>
        <v>-2888362.01</v>
      </c>
      <c r="G86" s="484">
        <f t="shared" si="47"/>
        <v>11553448</v>
      </c>
      <c r="H86" s="485">
        <f t="shared" si="48"/>
        <v>8665085.9900000002</v>
      </c>
      <c r="I86" s="426">
        <f t="shared" si="49"/>
        <v>-2888362.01</v>
      </c>
      <c r="J86" s="485">
        <f t="shared" si="50"/>
        <v>0</v>
      </c>
      <c r="K86" s="485">
        <f t="shared" si="51"/>
        <v>0</v>
      </c>
      <c r="L86" s="426">
        <f t="shared" si="52"/>
        <v>0</v>
      </c>
      <c r="M86" s="485">
        <f t="shared" si="53"/>
        <v>0</v>
      </c>
      <c r="N86" s="485">
        <f t="shared" si="54"/>
        <v>0</v>
      </c>
      <c r="O86" s="426">
        <f t="shared" si="55"/>
        <v>0</v>
      </c>
      <c r="P86" s="485">
        <f t="shared" si="56"/>
        <v>0</v>
      </c>
      <c r="Q86" s="486">
        <f t="shared" si="57"/>
        <v>0</v>
      </c>
      <c r="R86" s="428">
        <f t="shared" si="58"/>
        <v>0</v>
      </c>
      <c r="S86" s="485">
        <f t="shared" si="59"/>
        <v>0</v>
      </c>
      <c r="T86" s="486">
        <f t="shared" si="60"/>
        <v>0</v>
      </c>
      <c r="U86" s="428">
        <f t="shared" si="61"/>
        <v>0</v>
      </c>
      <c r="V86" s="485">
        <f t="shared" si="62"/>
        <v>0</v>
      </c>
      <c r="W86" s="486">
        <f t="shared" si="63"/>
        <v>0</v>
      </c>
      <c r="X86" s="428">
        <f t="shared" si="64"/>
        <v>0</v>
      </c>
      <c r="Y86" s="485">
        <f t="shared" si="65"/>
        <v>0</v>
      </c>
      <c r="Z86" s="486">
        <f t="shared" si="66"/>
        <v>0</v>
      </c>
      <c r="AA86" s="428">
        <f t="shared" si="67"/>
        <v>0</v>
      </c>
      <c r="AB86" s="485">
        <f t="shared" si="68"/>
        <v>0</v>
      </c>
      <c r="AC86" s="486">
        <f t="shared" si="69"/>
        <v>0</v>
      </c>
      <c r="AD86" s="428">
        <f t="shared" si="70"/>
        <v>0</v>
      </c>
      <c r="AE86" s="485">
        <f t="shared" si="71"/>
        <v>0</v>
      </c>
      <c r="AF86" s="486">
        <f t="shared" si="72"/>
        <v>0</v>
      </c>
      <c r="AG86" s="428">
        <f t="shared" si="73"/>
        <v>0</v>
      </c>
      <c r="AH86" s="485">
        <f t="shared" si="74"/>
        <v>0</v>
      </c>
      <c r="AI86" s="486">
        <f t="shared" si="75"/>
        <v>0</v>
      </c>
      <c r="AJ86" s="428">
        <f t="shared" si="76"/>
        <v>0</v>
      </c>
      <c r="AK86" s="485">
        <f t="shared" si="77"/>
        <v>0</v>
      </c>
      <c r="AL86" s="486">
        <f t="shared" si="78"/>
        <v>0</v>
      </c>
      <c r="AM86" s="428">
        <f t="shared" si="79"/>
        <v>0</v>
      </c>
      <c r="AN86" s="485">
        <f t="shared" si="80"/>
        <v>0</v>
      </c>
      <c r="AO86" s="486">
        <f t="shared" si="81"/>
        <v>0</v>
      </c>
      <c r="AP86" s="428">
        <f t="shared" si="82"/>
        <v>0</v>
      </c>
      <c r="AQ86" s="485">
        <f t="shared" si="83"/>
        <v>0</v>
      </c>
      <c r="AR86" s="486">
        <f t="shared" si="84"/>
        <v>0</v>
      </c>
      <c r="AS86" s="428">
        <f t="shared" si="85"/>
        <v>0</v>
      </c>
      <c r="AT86" s="491"/>
    </row>
    <row r="87" spans="1:46" s="456" customFormat="1" x14ac:dyDescent="0.25">
      <c r="A87" s="808" t="s">
        <v>464</v>
      </c>
      <c r="B87" s="810" t="s">
        <v>13</v>
      </c>
      <c r="C87" s="467" t="s">
        <v>25</v>
      </c>
      <c r="D87" s="468">
        <f t="shared" ref="D87:D126" si="86">G87+J87+M87+AQ87</f>
        <v>0</v>
      </c>
      <c r="E87" s="469">
        <f t="shared" ref="E87:E126" si="87">H87+K87+N87+AR87</f>
        <v>0</v>
      </c>
      <c r="F87" s="470">
        <f t="shared" ref="F87:F126" si="88">I87+L87+O87+AS87</f>
        <v>0</v>
      </c>
      <c r="G87" s="471">
        <f t="shared" si="47"/>
        <v>0</v>
      </c>
      <c r="H87" s="472">
        <f t="shared" si="48"/>
        <v>0</v>
      </c>
      <c r="I87" s="473">
        <f t="shared" ref="I87:I116" si="89">H87-G87</f>
        <v>0</v>
      </c>
      <c r="J87" s="472">
        <f t="shared" si="50"/>
        <v>0</v>
      </c>
      <c r="K87" s="472">
        <f t="shared" si="51"/>
        <v>0</v>
      </c>
      <c r="L87" s="473">
        <f t="shared" ref="L87:L116" si="90">K87-J87</f>
        <v>0</v>
      </c>
      <c r="M87" s="472">
        <f t="shared" si="53"/>
        <v>0</v>
      </c>
      <c r="N87" s="472">
        <f t="shared" si="54"/>
        <v>0</v>
      </c>
      <c r="O87" s="473">
        <f t="shared" ref="O87:O116" si="91">N87-M87</f>
        <v>0</v>
      </c>
      <c r="P87" s="472">
        <f t="shared" si="56"/>
        <v>0</v>
      </c>
      <c r="Q87" s="474">
        <f t="shared" si="57"/>
        <v>0</v>
      </c>
      <c r="R87" s="475">
        <f t="shared" ref="R87:R116" si="92">Q87-P87</f>
        <v>0</v>
      </c>
      <c r="S87" s="472">
        <f t="shared" si="59"/>
        <v>0</v>
      </c>
      <c r="T87" s="474">
        <f t="shared" si="60"/>
        <v>0</v>
      </c>
      <c r="U87" s="475">
        <f t="shared" ref="U87:U116" si="93">T87-S87</f>
        <v>0</v>
      </c>
      <c r="V87" s="472">
        <f t="shared" si="62"/>
        <v>0</v>
      </c>
      <c r="W87" s="474">
        <f t="shared" si="63"/>
        <v>0</v>
      </c>
      <c r="X87" s="475">
        <f t="shared" ref="X87:X116" si="94">W87-V87</f>
        <v>0</v>
      </c>
      <c r="Y87" s="472">
        <f t="shared" si="65"/>
        <v>0</v>
      </c>
      <c r="Z87" s="474">
        <f t="shared" si="66"/>
        <v>0</v>
      </c>
      <c r="AA87" s="475">
        <f t="shared" ref="AA87:AA116" si="95">Z87-Y87</f>
        <v>0</v>
      </c>
      <c r="AB87" s="472">
        <f t="shared" si="68"/>
        <v>0</v>
      </c>
      <c r="AC87" s="474">
        <f t="shared" si="69"/>
        <v>0</v>
      </c>
      <c r="AD87" s="475">
        <f t="shared" ref="AD87:AD116" si="96">AC87-AB87</f>
        <v>0</v>
      </c>
      <c r="AE87" s="472">
        <f t="shared" si="71"/>
        <v>0</v>
      </c>
      <c r="AF87" s="474">
        <f t="shared" si="72"/>
        <v>0</v>
      </c>
      <c r="AG87" s="475">
        <f t="shared" ref="AG87:AG116" si="97">AF87-AE87</f>
        <v>0</v>
      </c>
      <c r="AH87" s="472">
        <f t="shared" si="74"/>
        <v>0</v>
      </c>
      <c r="AI87" s="474">
        <f t="shared" si="75"/>
        <v>0</v>
      </c>
      <c r="AJ87" s="475">
        <f t="shared" ref="AJ87:AJ116" si="98">AI87-AH87</f>
        <v>0</v>
      </c>
      <c r="AK87" s="472">
        <f t="shared" si="77"/>
        <v>0</v>
      </c>
      <c r="AL87" s="474">
        <f t="shared" si="78"/>
        <v>0</v>
      </c>
      <c r="AM87" s="475">
        <f t="shared" ref="AM87:AM116" si="99">AL87-AK87</f>
        <v>0</v>
      </c>
      <c r="AN87" s="472">
        <f t="shared" si="80"/>
        <v>0</v>
      </c>
      <c r="AO87" s="474">
        <f t="shared" si="81"/>
        <v>0</v>
      </c>
      <c r="AP87" s="475">
        <f t="shared" ref="AP87:AP116" si="100">AO87-AN87</f>
        <v>0</v>
      </c>
      <c r="AQ87" s="472">
        <f t="shared" si="83"/>
        <v>0</v>
      </c>
      <c r="AR87" s="474">
        <f t="shared" si="84"/>
        <v>0</v>
      </c>
      <c r="AS87" s="475">
        <f t="shared" ref="AS87:AS116" si="101">AR87-AQ87</f>
        <v>0</v>
      </c>
      <c r="AT87" s="476">
        <f>'Analyza citlivosti - AgendovéIS'!K7</f>
        <v>0</v>
      </c>
    </row>
    <row r="88" spans="1:46" s="456" customFormat="1" x14ac:dyDescent="0.25">
      <c r="A88" s="808"/>
      <c r="B88" s="810"/>
      <c r="C88" s="467" t="s">
        <v>26</v>
      </c>
      <c r="D88" s="468">
        <f t="shared" si="86"/>
        <v>0</v>
      </c>
      <c r="E88" s="469">
        <f t="shared" si="87"/>
        <v>0</v>
      </c>
      <c r="F88" s="470">
        <f t="shared" si="88"/>
        <v>0</v>
      </c>
      <c r="G88" s="477">
        <f t="shared" si="47"/>
        <v>0</v>
      </c>
      <c r="H88" s="478">
        <f t="shared" si="48"/>
        <v>0</v>
      </c>
      <c r="I88" s="417">
        <f t="shared" si="89"/>
        <v>0</v>
      </c>
      <c r="J88" s="478">
        <f t="shared" si="50"/>
        <v>0</v>
      </c>
      <c r="K88" s="478">
        <f t="shared" si="51"/>
        <v>0</v>
      </c>
      <c r="L88" s="417">
        <f t="shared" si="90"/>
        <v>0</v>
      </c>
      <c r="M88" s="478">
        <f t="shared" si="53"/>
        <v>0</v>
      </c>
      <c r="N88" s="478">
        <f t="shared" si="54"/>
        <v>0</v>
      </c>
      <c r="O88" s="417">
        <f t="shared" si="91"/>
        <v>0</v>
      </c>
      <c r="P88" s="478">
        <f t="shared" si="56"/>
        <v>0</v>
      </c>
      <c r="Q88" s="479">
        <f t="shared" si="57"/>
        <v>0</v>
      </c>
      <c r="R88" s="419">
        <f t="shared" si="92"/>
        <v>0</v>
      </c>
      <c r="S88" s="478">
        <f t="shared" si="59"/>
        <v>0</v>
      </c>
      <c r="T88" s="479">
        <f t="shared" si="60"/>
        <v>0</v>
      </c>
      <c r="U88" s="419">
        <f t="shared" si="93"/>
        <v>0</v>
      </c>
      <c r="V88" s="478">
        <f t="shared" si="62"/>
        <v>0</v>
      </c>
      <c r="W88" s="479">
        <f t="shared" si="63"/>
        <v>0</v>
      </c>
      <c r="X88" s="419">
        <f t="shared" si="94"/>
        <v>0</v>
      </c>
      <c r="Y88" s="478">
        <f t="shared" si="65"/>
        <v>0</v>
      </c>
      <c r="Z88" s="479">
        <f t="shared" si="66"/>
        <v>0</v>
      </c>
      <c r="AA88" s="419">
        <f t="shared" si="95"/>
        <v>0</v>
      </c>
      <c r="AB88" s="478">
        <f t="shared" si="68"/>
        <v>0</v>
      </c>
      <c r="AC88" s="479">
        <f t="shared" si="69"/>
        <v>0</v>
      </c>
      <c r="AD88" s="419">
        <f t="shared" si="96"/>
        <v>0</v>
      </c>
      <c r="AE88" s="478">
        <f t="shared" si="71"/>
        <v>0</v>
      </c>
      <c r="AF88" s="479">
        <f t="shared" si="72"/>
        <v>0</v>
      </c>
      <c r="AG88" s="419">
        <f t="shared" si="97"/>
        <v>0</v>
      </c>
      <c r="AH88" s="478">
        <f t="shared" si="74"/>
        <v>0</v>
      </c>
      <c r="AI88" s="479">
        <f t="shared" si="75"/>
        <v>0</v>
      </c>
      <c r="AJ88" s="419">
        <f t="shared" si="98"/>
        <v>0</v>
      </c>
      <c r="AK88" s="478">
        <f t="shared" si="77"/>
        <v>0</v>
      </c>
      <c r="AL88" s="479">
        <f t="shared" si="78"/>
        <v>0</v>
      </c>
      <c r="AM88" s="419">
        <f t="shared" si="99"/>
        <v>0</v>
      </c>
      <c r="AN88" s="478">
        <f t="shared" si="80"/>
        <v>0</v>
      </c>
      <c r="AO88" s="479">
        <f t="shared" si="81"/>
        <v>0</v>
      </c>
      <c r="AP88" s="419">
        <f t="shared" si="100"/>
        <v>0</v>
      </c>
      <c r="AQ88" s="478">
        <f t="shared" si="83"/>
        <v>0</v>
      </c>
      <c r="AR88" s="479">
        <f t="shared" si="84"/>
        <v>0</v>
      </c>
      <c r="AS88" s="419">
        <f t="shared" si="101"/>
        <v>0</v>
      </c>
      <c r="AT88" s="455"/>
    </row>
    <row r="89" spans="1:46" s="456" customFormat="1" x14ac:dyDescent="0.25">
      <c r="A89" s="808"/>
      <c r="B89" s="810"/>
      <c r="C89" s="467" t="s">
        <v>27</v>
      </c>
      <c r="D89" s="468">
        <f t="shared" si="86"/>
        <v>3740910.9950000001</v>
      </c>
      <c r="E89" s="469">
        <f t="shared" si="87"/>
        <v>2805683.2450000001</v>
      </c>
      <c r="F89" s="470">
        <f t="shared" si="88"/>
        <v>-935227.75</v>
      </c>
      <c r="G89" s="477">
        <f t="shared" si="47"/>
        <v>3740910.9950000001</v>
      </c>
      <c r="H89" s="478">
        <f t="shared" si="48"/>
        <v>2805683.2450000001</v>
      </c>
      <c r="I89" s="417">
        <f t="shared" si="89"/>
        <v>-935227.75</v>
      </c>
      <c r="J89" s="478">
        <f t="shared" si="50"/>
        <v>0</v>
      </c>
      <c r="K89" s="478">
        <f t="shared" si="51"/>
        <v>0</v>
      </c>
      <c r="L89" s="417">
        <f t="shared" si="90"/>
        <v>0</v>
      </c>
      <c r="M89" s="478">
        <f t="shared" si="53"/>
        <v>0</v>
      </c>
      <c r="N89" s="478">
        <f t="shared" si="54"/>
        <v>0</v>
      </c>
      <c r="O89" s="417">
        <f t="shared" si="91"/>
        <v>0</v>
      </c>
      <c r="P89" s="478">
        <f t="shared" si="56"/>
        <v>0</v>
      </c>
      <c r="Q89" s="479">
        <f t="shared" si="57"/>
        <v>0</v>
      </c>
      <c r="R89" s="419">
        <f t="shared" si="92"/>
        <v>0</v>
      </c>
      <c r="S89" s="478">
        <f t="shared" si="59"/>
        <v>0</v>
      </c>
      <c r="T89" s="479">
        <f t="shared" si="60"/>
        <v>0</v>
      </c>
      <c r="U89" s="419">
        <f t="shared" si="93"/>
        <v>0</v>
      </c>
      <c r="V89" s="478">
        <f t="shared" si="62"/>
        <v>0</v>
      </c>
      <c r="W89" s="479">
        <f t="shared" si="63"/>
        <v>0</v>
      </c>
      <c r="X89" s="419">
        <f t="shared" si="94"/>
        <v>0</v>
      </c>
      <c r="Y89" s="478">
        <f t="shared" si="65"/>
        <v>0</v>
      </c>
      <c r="Z89" s="479">
        <f t="shared" si="66"/>
        <v>0</v>
      </c>
      <c r="AA89" s="419">
        <f t="shared" si="95"/>
        <v>0</v>
      </c>
      <c r="AB89" s="478">
        <f t="shared" si="68"/>
        <v>0</v>
      </c>
      <c r="AC89" s="479">
        <f t="shared" si="69"/>
        <v>0</v>
      </c>
      <c r="AD89" s="419">
        <f t="shared" si="96"/>
        <v>0</v>
      </c>
      <c r="AE89" s="478">
        <f t="shared" si="71"/>
        <v>0</v>
      </c>
      <c r="AF89" s="479">
        <f t="shared" si="72"/>
        <v>0</v>
      </c>
      <c r="AG89" s="419">
        <f t="shared" si="97"/>
        <v>0</v>
      </c>
      <c r="AH89" s="478">
        <f t="shared" si="74"/>
        <v>0</v>
      </c>
      <c r="AI89" s="479">
        <f t="shared" si="75"/>
        <v>0</v>
      </c>
      <c r="AJ89" s="419">
        <f t="shared" si="98"/>
        <v>0</v>
      </c>
      <c r="AK89" s="478">
        <f t="shared" si="77"/>
        <v>0</v>
      </c>
      <c r="AL89" s="479">
        <f t="shared" si="78"/>
        <v>0</v>
      </c>
      <c r="AM89" s="419">
        <f t="shared" si="99"/>
        <v>0</v>
      </c>
      <c r="AN89" s="478">
        <f t="shared" si="80"/>
        <v>0</v>
      </c>
      <c r="AO89" s="479">
        <f t="shared" si="81"/>
        <v>0</v>
      </c>
      <c r="AP89" s="419">
        <f t="shared" si="100"/>
        <v>0</v>
      </c>
      <c r="AQ89" s="478">
        <f t="shared" si="83"/>
        <v>0</v>
      </c>
      <c r="AR89" s="479">
        <f t="shared" si="84"/>
        <v>0</v>
      </c>
      <c r="AS89" s="419">
        <f t="shared" si="101"/>
        <v>0</v>
      </c>
      <c r="AT89" s="455"/>
    </row>
    <row r="90" spans="1:46" s="456" customFormat="1" x14ac:dyDescent="0.25">
      <c r="A90" s="808"/>
      <c r="B90" s="810"/>
      <c r="C90" s="467" t="s">
        <v>28</v>
      </c>
      <c r="D90" s="468">
        <f t="shared" si="86"/>
        <v>7481821.9900000002</v>
      </c>
      <c r="E90" s="469">
        <f t="shared" si="87"/>
        <v>5611366.4900000002</v>
      </c>
      <c r="F90" s="470">
        <f t="shared" si="88"/>
        <v>-1870455.5</v>
      </c>
      <c r="G90" s="477">
        <f t="shared" si="47"/>
        <v>7481821.9900000002</v>
      </c>
      <c r="H90" s="478">
        <f t="shared" si="48"/>
        <v>5611366.4900000002</v>
      </c>
      <c r="I90" s="417">
        <f t="shared" si="89"/>
        <v>-1870455.5</v>
      </c>
      <c r="J90" s="478">
        <f t="shared" si="50"/>
        <v>0</v>
      </c>
      <c r="K90" s="478">
        <f t="shared" si="51"/>
        <v>0</v>
      </c>
      <c r="L90" s="417">
        <f t="shared" si="90"/>
        <v>0</v>
      </c>
      <c r="M90" s="478">
        <f t="shared" si="53"/>
        <v>0</v>
      </c>
      <c r="N90" s="478">
        <f t="shared" si="54"/>
        <v>0</v>
      </c>
      <c r="O90" s="417">
        <f t="shared" si="91"/>
        <v>0</v>
      </c>
      <c r="P90" s="478">
        <f t="shared" si="56"/>
        <v>0</v>
      </c>
      <c r="Q90" s="479">
        <f t="shared" si="57"/>
        <v>0</v>
      </c>
      <c r="R90" s="419">
        <f t="shared" si="92"/>
        <v>0</v>
      </c>
      <c r="S90" s="478">
        <f t="shared" si="59"/>
        <v>0</v>
      </c>
      <c r="T90" s="479">
        <f t="shared" si="60"/>
        <v>0</v>
      </c>
      <c r="U90" s="419">
        <f t="shared" si="93"/>
        <v>0</v>
      </c>
      <c r="V90" s="478">
        <f t="shared" si="62"/>
        <v>0</v>
      </c>
      <c r="W90" s="479">
        <f t="shared" si="63"/>
        <v>0</v>
      </c>
      <c r="X90" s="419">
        <f t="shared" si="94"/>
        <v>0</v>
      </c>
      <c r="Y90" s="478">
        <f t="shared" si="65"/>
        <v>0</v>
      </c>
      <c r="Z90" s="479">
        <f t="shared" si="66"/>
        <v>0</v>
      </c>
      <c r="AA90" s="419">
        <f t="shared" si="95"/>
        <v>0</v>
      </c>
      <c r="AB90" s="478">
        <f t="shared" si="68"/>
        <v>0</v>
      </c>
      <c r="AC90" s="479">
        <f t="shared" si="69"/>
        <v>0</v>
      </c>
      <c r="AD90" s="419">
        <f t="shared" si="96"/>
        <v>0</v>
      </c>
      <c r="AE90" s="478">
        <f t="shared" si="71"/>
        <v>0</v>
      </c>
      <c r="AF90" s="479">
        <f t="shared" si="72"/>
        <v>0</v>
      </c>
      <c r="AG90" s="419">
        <f t="shared" si="97"/>
        <v>0</v>
      </c>
      <c r="AH90" s="478">
        <f t="shared" si="74"/>
        <v>0</v>
      </c>
      <c r="AI90" s="479">
        <f t="shared" si="75"/>
        <v>0</v>
      </c>
      <c r="AJ90" s="419">
        <f t="shared" si="98"/>
        <v>0</v>
      </c>
      <c r="AK90" s="478">
        <f t="shared" si="77"/>
        <v>0</v>
      </c>
      <c r="AL90" s="479">
        <f t="shared" si="78"/>
        <v>0</v>
      </c>
      <c r="AM90" s="419">
        <f t="shared" si="99"/>
        <v>0</v>
      </c>
      <c r="AN90" s="478">
        <f t="shared" si="80"/>
        <v>0</v>
      </c>
      <c r="AO90" s="479">
        <f t="shared" si="81"/>
        <v>0</v>
      </c>
      <c r="AP90" s="419">
        <f t="shared" si="100"/>
        <v>0</v>
      </c>
      <c r="AQ90" s="478">
        <f t="shared" si="83"/>
        <v>0</v>
      </c>
      <c r="AR90" s="479">
        <f t="shared" si="84"/>
        <v>0</v>
      </c>
      <c r="AS90" s="419">
        <f t="shared" si="101"/>
        <v>0</v>
      </c>
      <c r="AT90" s="455"/>
    </row>
    <row r="91" spans="1:46" s="456" customFormat="1" x14ac:dyDescent="0.25">
      <c r="A91" s="808"/>
      <c r="B91" s="810"/>
      <c r="C91" s="467" t="s">
        <v>29</v>
      </c>
      <c r="D91" s="468">
        <f t="shared" si="86"/>
        <v>7481821.9900000002</v>
      </c>
      <c r="E91" s="469">
        <f t="shared" si="87"/>
        <v>5611366.4900000002</v>
      </c>
      <c r="F91" s="470">
        <f t="shared" si="88"/>
        <v>-1870455.5</v>
      </c>
      <c r="G91" s="477">
        <f t="shared" si="47"/>
        <v>7481821.9900000002</v>
      </c>
      <c r="H91" s="478">
        <f t="shared" si="48"/>
        <v>5611366.4900000002</v>
      </c>
      <c r="I91" s="417">
        <f t="shared" si="89"/>
        <v>-1870455.5</v>
      </c>
      <c r="J91" s="478">
        <f t="shared" si="50"/>
        <v>0</v>
      </c>
      <c r="K91" s="478">
        <f t="shared" si="51"/>
        <v>0</v>
      </c>
      <c r="L91" s="417">
        <f t="shared" si="90"/>
        <v>0</v>
      </c>
      <c r="M91" s="478">
        <f t="shared" si="53"/>
        <v>0</v>
      </c>
      <c r="N91" s="478">
        <f t="shared" si="54"/>
        <v>0</v>
      </c>
      <c r="O91" s="417">
        <f t="shared" si="91"/>
        <v>0</v>
      </c>
      <c r="P91" s="478">
        <f t="shared" si="56"/>
        <v>0</v>
      </c>
      <c r="Q91" s="479">
        <f t="shared" si="57"/>
        <v>0</v>
      </c>
      <c r="R91" s="419">
        <f t="shared" si="92"/>
        <v>0</v>
      </c>
      <c r="S91" s="478">
        <f t="shared" si="59"/>
        <v>0</v>
      </c>
      <c r="T91" s="479">
        <f t="shared" si="60"/>
        <v>0</v>
      </c>
      <c r="U91" s="419">
        <f t="shared" si="93"/>
        <v>0</v>
      </c>
      <c r="V91" s="478">
        <f t="shared" si="62"/>
        <v>0</v>
      </c>
      <c r="W91" s="479">
        <f t="shared" si="63"/>
        <v>0</v>
      </c>
      <c r="X91" s="419">
        <f t="shared" si="94"/>
        <v>0</v>
      </c>
      <c r="Y91" s="478">
        <f t="shared" si="65"/>
        <v>0</v>
      </c>
      <c r="Z91" s="479">
        <f t="shared" si="66"/>
        <v>0</v>
      </c>
      <c r="AA91" s="419">
        <f t="shared" si="95"/>
        <v>0</v>
      </c>
      <c r="AB91" s="478">
        <f t="shared" si="68"/>
        <v>0</v>
      </c>
      <c r="AC91" s="479">
        <f t="shared" si="69"/>
        <v>0</v>
      </c>
      <c r="AD91" s="419">
        <f t="shared" si="96"/>
        <v>0</v>
      </c>
      <c r="AE91" s="478">
        <f t="shared" si="71"/>
        <v>0</v>
      </c>
      <c r="AF91" s="479">
        <f t="shared" si="72"/>
        <v>0</v>
      </c>
      <c r="AG91" s="419">
        <f t="shared" si="97"/>
        <v>0</v>
      </c>
      <c r="AH91" s="478">
        <f t="shared" si="74"/>
        <v>0</v>
      </c>
      <c r="AI91" s="479">
        <f t="shared" si="75"/>
        <v>0</v>
      </c>
      <c r="AJ91" s="419">
        <f t="shared" si="98"/>
        <v>0</v>
      </c>
      <c r="AK91" s="478">
        <f t="shared" si="77"/>
        <v>0</v>
      </c>
      <c r="AL91" s="479">
        <f t="shared" si="78"/>
        <v>0</v>
      </c>
      <c r="AM91" s="419">
        <f t="shared" si="99"/>
        <v>0</v>
      </c>
      <c r="AN91" s="478">
        <f t="shared" si="80"/>
        <v>0</v>
      </c>
      <c r="AO91" s="479">
        <f t="shared" si="81"/>
        <v>0</v>
      </c>
      <c r="AP91" s="419">
        <f t="shared" si="100"/>
        <v>0</v>
      </c>
      <c r="AQ91" s="478">
        <f t="shared" si="83"/>
        <v>0</v>
      </c>
      <c r="AR91" s="479">
        <f t="shared" si="84"/>
        <v>0</v>
      </c>
      <c r="AS91" s="419">
        <f t="shared" si="101"/>
        <v>0</v>
      </c>
      <c r="AT91" s="455"/>
    </row>
    <row r="92" spans="1:46" s="456" customFormat="1" x14ac:dyDescent="0.25">
      <c r="A92" s="808"/>
      <c r="B92" s="810"/>
      <c r="C92" s="467" t="s">
        <v>30</v>
      </c>
      <c r="D92" s="468">
        <f t="shared" si="86"/>
        <v>7481821.9900000002</v>
      </c>
      <c r="E92" s="469">
        <f t="shared" si="87"/>
        <v>5611366.4900000002</v>
      </c>
      <c r="F92" s="470">
        <f t="shared" si="88"/>
        <v>-1870455.5</v>
      </c>
      <c r="G92" s="477">
        <f t="shared" si="47"/>
        <v>7481821.9900000002</v>
      </c>
      <c r="H92" s="478">
        <f t="shared" si="48"/>
        <v>5611366.4900000002</v>
      </c>
      <c r="I92" s="417">
        <f t="shared" si="89"/>
        <v>-1870455.5</v>
      </c>
      <c r="J92" s="478">
        <f t="shared" si="50"/>
        <v>0</v>
      </c>
      <c r="K92" s="478">
        <f t="shared" si="51"/>
        <v>0</v>
      </c>
      <c r="L92" s="417">
        <f t="shared" si="90"/>
        <v>0</v>
      </c>
      <c r="M92" s="478">
        <f t="shared" si="53"/>
        <v>0</v>
      </c>
      <c r="N92" s="478">
        <f t="shared" si="54"/>
        <v>0</v>
      </c>
      <c r="O92" s="417">
        <f t="shared" si="91"/>
        <v>0</v>
      </c>
      <c r="P92" s="478">
        <f t="shared" si="56"/>
        <v>0</v>
      </c>
      <c r="Q92" s="479">
        <f t="shared" si="57"/>
        <v>0</v>
      </c>
      <c r="R92" s="419">
        <f t="shared" si="92"/>
        <v>0</v>
      </c>
      <c r="S92" s="478">
        <f t="shared" si="59"/>
        <v>0</v>
      </c>
      <c r="T92" s="479">
        <f t="shared" si="60"/>
        <v>0</v>
      </c>
      <c r="U92" s="419">
        <f t="shared" si="93"/>
        <v>0</v>
      </c>
      <c r="V92" s="478">
        <f t="shared" si="62"/>
        <v>0</v>
      </c>
      <c r="W92" s="479">
        <f t="shared" si="63"/>
        <v>0</v>
      </c>
      <c r="X92" s="419">
        <f t="shared" si="94"/>
        <v>0</v>
      </c>
      <c r="Y92" s="478">
        <f t="shared" si="65"/>
        <v>0</v>
      </c>
      <c r="Z92" s="479">
        <f t="shared" si="66"/>
        <v>0</v>
      </c>
      <c r="AA92" s="419">
        <f t="shared" si="95"/>
        <v>0</v>
      </c>
      <c r="AB92" s="478">
        <f t="shared" si="68"/>
        <v>0</v>
      </c>
      <c r="AC92" s="479">
        <f t="shared" si="69"/>
        <v>0</v>
      </c>
      <c r="AD92" s="419">
        <f t="shared" si="96"/>
        <v>0</v>
      </c>
      <c r="AE92" s="478">
        <f t="shared" si="71"/>
        <v>0</v>
      </c>
      <c r="AF92" s="479">
        <f t="shared" si="72"/>
        <v>0</v>
      </c>
      <c r="AG92" s="419">
        <f t="shared" si="97"/>
        <v>0</v>
      </c>
      <c r="AH92" s="478">
        <f t="shared" si="74"/>
        <v>0</v>
      </c>
      <c r="AI92" s="479">
        <f t="shared" si="75"/>
        <v>0</v>
      </c>
      <c r="AJ92" s="419">
        <f t="shared" si="98"/>
        <v>0</v>
      </c>
      <c r="AK92" s="478">
        <f t="shared" si="77"/>
        <v>0</v>
      </c>
      <c r="AL92" s="479">
        <f t="shared" si="78"/>
        <v>0</v>
      </c>
      <c r="AM92" s="419">
        <f t="shared" si="99"/>
        <v>0</v>
      </c>
      <c r="AN92" s="478">
        <f t="shared" si="80"/>
        <v>0</v>
      </c>
      <c r="AO92" s="479">
        <f t="shared" si="81"/>
        <v>0</v>
      </c>
      <c r="AP92" s="419">
        <f t="shared" si="100"/>
        <v>0</v>
      </c>
      <c r="AQ92" s="478">
        <f t="shared" si="83"/>
        <v>0</v>
      </c>
      <c r="AR92" s="479">
        <f t="shared" si="84"/>
        <v>0</v>
      </c>
      <c r="AS92" s="419">
        <f t="shared" si="101"/>
        <v>0</v>
      </c>
      <c r="AT92" s="455"/>
    </row>
    <row r="93" spans="1:46" s="456" customFormat="1" x14ac:dyDescent="0.25">
      <c r="A93" s="808"/>
      <c r="B93" s="810"/>
      <c r="C93" s="467" t="s">
        <v>31</v>
      </c>
      <c r="D93" s="468">
        <f t="shared" si="86"/>
        <v>7481821.9900000002</v>
      </c>
      <c r="E93" s="469">
        <f t="shared" si="87"/>
        <v>5611366.4900000002</v>
      </c>
      <c r="F93" s="470">
        <f t="shared" si="88"/>
        <v>-1870455.5</v>
      </c>
      <c r="G93" s="477">
        <f t="shared" si="47"/>
        <v>7481821.9900000002</v>
      </c>
      <c r="H93" s="478">
        <f t="shared" si="48"/>
        <v>5611366.4900000002</v>
      </c>
      <c r="I93" s="417">
        <f t="shared" si="89"/>
        <v>-1870455.5</v>
      </c>
      <c r="J93" s="478">
        <f t="shared" si="50"/>
        <v>0</v>
      </c>
      <c r="K93" s="478">
        <f t="shared" si="51"/>
        <v>0</v>
      </c>
      <c r="L93" s="417">
        <f t="shared" si="90"/>
        <v>0</v>
      </c>
      <c r="M93" s="478">
        <f t="shared" si="53"/>
        <v>0</v>
      </c>
      <c r="N93" s="478">
        <f t="shared" si="54"/>
        <v>0</v>
      </c>
      <c r="O93" s="417">
        <f t="shared" si="91"/>
        <v>0</v>
      </c>
      <c r="P93" s="478">
        <f t="shared" si="56"/>
        <v>0</v>
      </c>
      <c r="Q93" s="479">
        <f t="shared" si="57"/>
        <v>0</v>
      </c>
      <c r="R93" s="419">
        <f t="shared" si="92"/>
        <v>0</v>
      </c>
      <c r="S93" s="478">
        <f t="shared" si="59"/>
        <v>0</v>
      </c>
      <c r="T93" s="479">
        <f t="shared" si="60"/>
        <v>0</v>
      </c>
      <c r="U93" s="419">
        <f t="shared" si="93"/>
        <v>0</v>
      </c>
      <c r="V93" s="478">
        <f t="shared" si="62"/>
        <v>0</v>
      </c>
      <c r="W93" s="479">
        <f t="shared" si="63"/>
        <v>0</v>
      </c>
      <c r="X93" s="419">
        <f t="shared" si="94"/>
        <v>0</v>
      </c>
      <c r="Y93" s="478">
        <f t="shared" si="65"/>
        <v>0</v>
      </c>
      <c r="Z93" s="479">
        <f t="shared" si="66"/>
        <v>0</v>
      </c>
      <c r="AA93" s="419">
        <f t="shared" si="95"/>
        <v>0</v>
      </c>
      <c r="AB93" s="478">
        <f t="shared" si="68"/>
        <v>0</v>
      </c>
      <c r="AC93" s="479">
        <f t="shared" si="69"/>
        <v>0</v>
      </c>
      <c r="AD93" s="419">
        <f t="shared" si="96"/>
        <v>0</v>
      </c>
      <c r="AE93" s="478">
        <f t="shared" si="71"/>
        <v>0</v>
      </c>
      <c r="AF93" s="479">
        <f t="shared" si="72"/>
        <v>0</v>
      </c>
      <c r="AG93" s="419">
        <f t="shared" si="97"/>
        <v>0</v>
      </c>
      <c r="AH93" s="478">
        <f t="shared" si="74"/>
        <v>0</v>
      </c>
      <c r="AI93" s="479">
        <f t="shared" si="75"/>
        <v>0</v>
      </c>
      <c r="AJ93" s="419">
        <f t="shared" si="98"/>
        <v>0</v>
      </c>
      <c r="AK93" s="478">
        <f t="shared" si="77"/>
        <v>0</v>
      </c>
      <c r="AL93" s="479">
        <f t="shared" si="78"/>
        <v>0</v>
      </c>
      <c r="AM93" s="419">
        <f t="shared" si="99"/>
        <v>0</v>
      </c>
      <c r="AN93" s="478">
        <f t="shared" si="80"/>
        <v>0</v>
      </c>
      <c r="AO93" s="479">
        <f t="shared" si="81"/>
        <v>0</v>
      </c>
      <c r="AP93" s="419">
        <f t="shared" si="100"/>
        <v>0</v>
      </c>
      <c r="AQ93" s="478">
        <f t="shared" si="83"/>
        <v>0</v>
      </c>
      <c r="AR93" s="479">
        <f t="shared" si="84"/>
        <v>0</v>
      </c>
      <c r="AS93" s="419">
        <f t="shared" si="101"/>
        <v>0</v>
      </c>
      <c r="AT93" s="455"/>
    </row>
    <row r="94" spans="1:46" s="456" customFormat="1" x14ac:dyDescent="0.25">
      <c r="A94" s="808"/>
      <c r="B94" s="810"/>
      <c r="C94" s="467" t="s">
        <v>32</v>
      </c>
      <c r="D94" s="468">
        <f t="shared" si="86"/>
        <v>7481821.9900000002</v>
      </c>
      <c r="E94" s="469">
        <f t="shared" si="87"/>
        <v>5611366.4900000002</v>
      </c>
      <c r="F94" s="470">
        <f t="shared" si="88"/>
        <v>-1870455.5</v>
      </c>
      <c r="G94" s="477">
        <f t="shared" si="47"/>
        <v>7481821.9900000002</v>
      </c>
      <c r="H94" s="478">
        <f t="shared" si="48"/>
        <v>5611366.4900000002</v>
      </c>
      <c r="I94" s="417">
        <f t="shared" si="89"/>
        <v>-1870455.5</v>
      </c>
      <c r="J94" s="478">
        <f t="shared" si="50"/>
        <v>0</v>
      </c>
      <c r="K94" s="478">
        <f t="shared" si="51"/>
        <v>0</v>
      </c>
      <c r="L94" s="417">
        <f t="shared" si="90"/>
        <v>0</v>
      </c>
      <c r="M94" s="478">
        <f t="shared" si="53"/>
        <v>0</v>
      </c>
      <c r="N94" s="478">
        <f t="shared" si="54"/>
        <v>0</v>
      </c>
      <c r="O94" s="417">
        <f t="shared" si="91"/>
        <v>0</v>
      </c>
      <c r="P94" s="478">
        <f t="shared" si="56"/>
        <v>0</v>
      </c>
      <c r="Q94" s="479">
        <f t="shared" si="57"/>
        <v>0</v>
      </c>
      <c r="R94" s="419">
        <f t="shared" si="92"/>
        <v>0</v>
      </c>
      <c r="S94" s="478">
        <f t="shared" si="59"/>
        <v>0</v>
      </c>
      <c r="T94" s="479">
        <f t="shared" si="60"/>
        <v>0</v>
      </c>
      <c r="U94" s="419">
        <f t="shared" si="93"/>
        <v>0</v>
      </c>
      <c r="V94" s="478">
        <f t="shared" si="62"/>
        <v>0</v>
      </c>
      <c r="W94" s="479">
        <f t="shared" si="63"/>
        <v>0</v>
      </c>
      <c r="X94" s="419">
        <f t="shared" si="94"/>
        <v>0</v>
      </c>
      <c r="Y94" s="478">
        <f t="shared" si="65"/>
        <v>0</v>
      </c>
      <c r="Z94" s="479">
        <f t="shared" si="66"/>
        <v>0</v>
      </c>
      <c r="AA94" s="419">
        <f t="shared" si="95"/>
        <v>0</v>
      </c>
      <c r="AB94" s="478">
        <f t="shared" si="68"/>
        <v>0</v>
      </c>
      <c r="AC94" s="479">
        <f t="shared" si="69"/>
        <v>0</v>
      </c>
      <c r="AD94" s="419">
        <f t="shared" si="96"/>
        <v>0</v>
      </c>
      <c r="AE94" s="478">
        <f t="shared" si="71"/>
        <v>0</v>
      </c>
      <c r="AF94" s="479">
        <f t="shared" si="72"/>
        <v>0</v>
      </c>
      <c r="AG94" s="419">
        <f t="shared" si="97"/>
        <v>0</v>
      </c>
      <c r="AH94" s="478">
        <f t="shared" si="74"/>
        <v>0</v>
      </c>
      <c r="AI94" s="479">
        <f t="shared" si="75"/>
        <v>0</v>
      </c>
      <c r="AJ94" s="419">
        <f t="shared" si="98"/>
        <v>0</v>
      </c>
      <c r="AK94" s="478">
        <f t="shared" si="77"/>
        <v>0</v>
      </c>
      <c r="AL94" s="479">
        <f t="shared" si="78"/>
        <v>0</v>
      </c>
      <c r="AM94" s="419">
        <f t="shared" si="99"/>
        <v>0</v>
      </c>
      <c r="AN94" s="478">
        <f t="shared" si="80"/>
        <v>0</v>
      </c>
      <c r="AO94" s="479">
        <f t="shared" si="81"/>
        <v>0</v>
      </c>
      <c r="AP94" s="419">
        <f t="shared" si="100"/>
        <v>0</v>
      </c>
      <c r="AQ94" s="478">
        <f t="shared" si="83"/>
        <v>0</v>
      </c>
      <c r="AR94" s="479">
        <f t="shared" si="84"/>
        <v>0</v>
      </c>
      <c r="AS94" s="419">
        <f t="shared" si="101"/>
        <v>0</v>
      </c>
      <c r="AT94" s="455"/>
    </row>
    <row r="95" spans="1:46" s="456" customFormat="1" x14ac:dyDescent="0.25">
      <c r="A95" s="808"/>
      <c r="B95" s="810"/>
      <c r="C95" s="467" t="s">
        <v>33</v>
      </c>
      <c r="D95" s="468">
        <f t="shared" si="86"/>
        <v>7481821.9900000002</v>
      </c>
      <c r="E95" s="469">
        <f t="shared" si="87"/>
        <v>5611366.4900000002</v>
      </c>
      <c r="F95" s="470">
        <f t="shared" si="88"/>
        <v>-1870455.5</v>
      </c>
      <c r="G95" s="477">
        <f t="shared" si="47"/>
        <v>7481821.9900000002</v>
      </c>
      <c r="H95" s="478">
        <f t="shared" si="48"/>
        <v>5611366.4900000002</v>
      </c>
      <c r="I95" s="417">
        <f t="shared" si="89"/>
        <v>-1870455.5</v>
      </c>
      <c r="J95" s="478">
        <f t="shared" si="50"/>
        <v>0</v>
      </c>
      <c r="K95" s="478">
        <f t="shared" si="51"/>
        <v>0</v>
      </c>
      <c r="L95" s="417">
        <f t="shared" si="90"/>
        <v>0</v>
      </c>
      <c r="M95" s="478">
        <f t="shared" si="53"/>
        <v>0</v>
      </c>
      <c r="N95" s="478">
        <f t="shared" si="54"/>
        <v>0</v>
      </c>
      <c r="O95" s="417">
        <f t="shared" si="91"/>
        <v>0</v>
      </c>
      <c r="P95" s="478">
        <f t="shared" si="56"/>
        <v>0</v>
      </c>
      <c r="Q95" s="479">
        <f t="shared" si="57"/>
        <v>0</v>
      </c>
      <c r="R95" s="419">
        <f t="shared" si="92"/>
        <v>0</v>
      </c>
      <c r="S95" s="478">
        <f t="shared" si="59"/>
        <v>0</v>
      </c>
      <c r="T95" s="479">
        <f t="shared" si="60"/>
        <v>0</v>
      </c>
      <c r="U95" s="419">
        <f t="shared" si="93"/>
        <v>0</v>
      </c>
      <c r="V95" s="478">
        <f t="shared" si="62"/>
        <v>0</v>
      </c>
      <c r="W95" s="479">
        <f t="shared" si="63"/>
        <v>0</v>
      </c>
      <c r="X95" s="419">
        <f t="shared" si="94"/>
        <v>0</v>
      </c>
      <c r="Y95" s="478">
        <f t="shared" si="65"/>
        <v>0</v>
      </c>
      <c r="Z95" s="479">
        <f t="shared" si="66"/>
        <v>0</v>
      </c>
      <c r="AA95" s="419">
        <f t="shared" si="95"/>
        <v>0</v>
      </c>
      <c r="AB95" s="478">
        <f t="shared" si="68"/>
        <v>0</v>
      </c>
      <c r="AC95" s="479">
        <f t="shared" si="69"/>
        <v>0</v>
      </c>
      <c r="AD95" s="419">
        <f t="shared" si="96"/>
        <v>0</v>
      </c>
      <c r="AE95" s="478">
        <f t="shared" si="71"/>
        <v>0</v>
      </c>
      <c r="AF95" s="479">
        <f t="shared" si="72"/>
        <v>0</v>
      </c>
      <c r="AG95" s="419">
        <f t="shared" si="97"/>
        <v>0</v>
      </c>
      <c r="AH95" s="478">
        <f t="shared" si="74"/>
        <v>0</v>
      </c>
      <c r="AI95" s="479">
        <f t="shared" si="75"/>
        <v>0</v>
      </c>
      <c r="AJ95" s="419">
        <f t="shared" si="98"/>
        <v>0</v>
      </c>
      <c r="AK95" s="478">
        <f t="shared" si="77"/>
        <v>0</v>
      </c>
      <c r="AL95" s="479">
        <f t="shared" si="78"/>
        <v>0</v>
      </c>
      <c r="AM95" s="419">
        <f t="shared" si="99"/>
        <v>0</v>
      </c>
      <c r="AN95" s="478">
        <f t="shared" si="80"/>
        <v>0</v>
      </c>
      <c r="AO95" s="479">
        <f t="shared" si="81"/>
        <v>0</v>
      </c>
      <c r="AP95" s="419">
        <f t="shared" si="100"/>
        <v>0</v>
      </c>
      <c r="AQ95" s="478">
        <f t="shared" si="83"/>
        <v>0</v>
      </c>
      <c r="AR95" s="479">
        <f t="shared" si="84"/>
        <v>0</v>
      </c>
      <c r="AS95" s="419">
        <f t="shared" si="101"/>
        <v>0</v>
      </c>
      <c r="AT95" s="455"/>
    </row>
    <row r="96" spans="1:46" s="456" customFormat="1" ht="15.75" thickBot="1" x14ac:dyDescent="0.3">
      <c r="A96" s="809"/>
      <c r="B96" s="811"/>
      <c r="C96" s="480" t="s">
        <v>34</v>
      </c>
      <c r="D96" s="481">
        <f t="shared" si="86"/>
        <v>7481821.9900000002</v>
      </c>
      <c r="E96" s="482">
        <f t="shared" si="87"/>
        <v>5611366.4900000002</v>
      </c>
      <c r="F96" s="483">
        <f t="shared" si="88"/>
        <v>-1870455.5</v>
      </c>
      <c r="G96" s="484">
        <f t="shared" si="47"/>
        <v>7481821.9900000002</v>
      </c>
      <c r="H96" s="485">
        <f t="shared" si="48"/>
        <v>5611366.4900000002</v>
      </c>
      <c r="I96" s="426">
        <f t="shared" si="89"/>
        <v>-1870455.5</v>
      </c>
      <c r="J96" s="485">
        <f t="shared" si="50"/>
        <v>0</v>
      </c>
      <c r="K96" s="485">
        <f t="shared" si="51"/>
        <v>0</v>
      </c>
      <c r="L96" s="426">
        <f t="shared" si="90"/>
        <v>0</v>
      </c>
      <c r="M96" s="485">
        <f t="shared" si="53"/>
        <v>0</v>
      </c>
      <c r="N96" s="485">
        <f t="shared" si="54"/>
        <v>0</v>
      </c>
      <c r="O96" s="426">
        <f t="shared" si="91"/>
        <v>0</v>
      </c>
      <c r="P96" s="485">
        <f t="shared" si="56"/>
        <v>0</v>
      </c>
      <c r="Q96" s="486">
        <f t="shared" si="57"/>
        <v>0</v>
      </c>
      <c r="R96" s="428">
        <f t="shared" si="92"/>
        <v>0</v>
      </c>
      <c r="S96" s="485">
        <f t="shared" si="59"/>
        <v>0</v>
      </c>
      <c r="T96" s="486">
        <f t="shared" si="60"/>
        <v>0</v>
      </c>
      <c r="U96" s="428">
        <f t="shared" si="93"/>
        <v>0</v>
      </c>
      <c r="V96" s="485">
        <f t="shared" si="62"/>
        <v>0</v>
      </c>
      <c r="W96" s="486">
        <f t="shared" si="63"/>
        <v>0</v>
      </c>
      <c r="X96" s="428">
        <f t="shared" si="94"/>
        <v>0</v>
      </c>
      <c r="Y96" s="485">
        <f t="shared" si="65"/>
        <v>0</v>
      </c>
      <c r="Z96" s="486">
        <f t="shared" si="66"/>
        <v>0</v>
      </c>
      <c r="AA96" s="428">
        <f t="shared" si="95"/>
        <v>0</v>
      </c>
      <c r="AB96" s="485">
        <f t="shared" si="68"/>
        <v>0</v>
      </c>
      <c r="AC96" s="486">
        <f t="shared" si="69"/>
        <v>0</v>
      </c>
      <c r="AD96" s="428">
        <f t="shared" si="96"/>
        <v>0</v>
      </c>
      <c r="AE96" s="485">
        <f t="shared" si="71"/>
        <v>0</v>
      </c>
      <c r="AF96" s="486">
        <f t="shared" si="72"/>
        <v>0</v>
      </c>
      <c r="AG96" s="428">
        <f t="shared" si="97"/>
        <v>0</v>
      </c>
      <c r="AH96" s="485">
        <f t="shared" si="74"/>
        <v>0</v>
      </c>
      <c r="AI96" s="486">
        <f t="shared" si="75"/>
        <v>0</v>
      </c>
      <c r="AJ96" s="428">
        <f t="shared" si="98"/>
        <v>0</v>
      </c>
      <c r="AK96" s="485">
        <f t="shared" si="77"/>
        <v>0</v>
      </c>
      <c r="AL96" s="486">
        <f t="shared" si="78"/>
        <v>0</v>
      </c>
      <c r="AM96" s="428">
        <f t="shared" si="99"/>
        <v>0</v>
      </c>
      <c r="AN96" s="485">
        <f t="shared" si="80"/>
        <v>0</v>
      </c>
      <c r="AO96" s="486">
        <f t="shared" si="81"/>
        <v>0</v>
      </c>
      <c r="AP96" s="428">
        <f t="shared" si="100"/>
        <v>0</v>
      </c>
      <c r="AQ96" s="485">
        <f t="shared" si="83"/>
        <v>0</v>
      </c>
      <c r="AR96" s="486">
        <f t="shared" si="84"/>
        <v>0</v>
      </c>
      <c r="AS96" s="428">
        <f t="shared" si="101"/>
        <v>0</v>
      </c>
      <c r="AT96" s="455"/>
    </row>
    <row r="97" spans="1:45" x14ac:dyDescent="0.25">
      <c r="A97" s="808" t="s">
        <v>443</v>
      </c>
      <c r="B97" s="810" t="s">
        <v>13</v>
      </c>
      <c r="C97" s="467" t="s">
        <v>25</v>
      </c>
      <c r="D97" s="468">
        <f t="shared" si="86"/>
        <v>0</v>
      </c>
      <c r="E97" s="469">
        <f t="shared" si="87"/>
        <v>0</v>
      </c>
      <c r="F97" s="470">
        <f t="shared" si="88"/>
        <v>0</v>
      </c>
      <c r="G97" s="487">
        <f t="shared" si="47"/>
        <v>0</v>
      </c>
      <c r="H97" s="488">
        <f t="shared" si="48"/>
        <v>0</v>
      </c>
      <c r="I97" s="406">
        <f t="shared" si="89"/>
        <v>0</v>
      </c>
      <c r="J97" s="488">
        <f>J16*J46*Faktory!$D$8</f>
        <v>0</v>
      </c>
      <c r="K97" s="488">
        <f>((K87*J46)-(K87*((J46-K46)*(1+$AT$46))))*Faktory!$D$8</f>
        <v>0</v>
      </c>
      <c r="L97" s="406">
        <f t="shared" si="90"/>
        <v>0</v>
      </c>
      <c r="M97" s="488">
        <f>M16*M46*Faktory!$D$8</f>
        <v>0</v>
      </c>
      <c r="N97" s="488">
        <f>((N87*M46)-(N87*((M46-N46)*(1+$AT$46))))*Faktory!$D$8</f>
        <v>0</v>
      </c>
      <c r="O97" s="406">
        <f t="shared" si="91"/>
        <v>0</v>
      </c>
      <c r="P97" s="488">
        <f>P16*P46*Faktory!$D$8</f>
        <v>0</v>
      </c>
      <c r="Q97" s="489">
        <f>((Q87*P46)-(Q87*((P46-Q46)*(1+$AT$46))))*Faktory!$D$8</f>
        <v>0</v>
      </c>
      <c r="R97" s="490">
        <f t="shared" si="92"/>
        <v>0</v>
      </c>
      <c r="S97" s="488">
        <f>S16*S46*Faktory!$D$8</f>
        <v>0</v>
      </c>
      <c r="T97" s="489">
        <f>((T87*S46)-(T87*((S46-T46)*(1+$AT$46))))*Faktory!$D$8</f>
        <v>0</v>
      </c>
      <c r="U97" s="490">
        <f t="shared" si="93"/>
        <v>0</v>
      </c>
      <c r="V97" s="488">
        <f>V16*V46*Faktory!$D$8</f>
        <v>0</v>
      </c>
      <c r="W97" s="489">
        <f>((W87*V46)-(W87*((V46-W46)*(1+$AT$46))))*Faktory!$D$8</f>
        <v>0</v>
      </c>
      <c r="X97" s="490">
        <f t="shared" si="94"/>
        <v>0</v>
      </c>
      <c r="Y97" s="488">
        <f>Y16*Y46*Faktory!$D$8</f>
        <v>0</v>
      </c>
      <c r="Z97" s="489">
        <f>((Z87*Y46)-(Z87*((Y46-Z46)*(1+$AT$46))))*Faktory!$D$8</f>
        <v>0</v>
      </c>
      <c r="AA97" s="490">
        <f t="shared" si="95"/>
        <v>0</v>
      </c>
      <c r="AB97" s="488">
        <f>AB16*AB46*Faktory!$D$8</f>
        <v>0</v>
      </c>
      <c r="AC97" s="489">
        <f>((AC87*AB46)-(AC87*((AB46-AC46)*(1+$AT$46))))*Faktory!$D$8</f>
        <v>0</v>
      </c>
      <c r="AD97" s="490">
        <f t="shared" si="96"/>
        <v>0</v>
      </c>
      <c r="AE97" s="488">
        <f>AE16*AE46*Faktory!$D$8</f>
        <v>0</v>
      </c>
      <c r="AF97" s="489">
        <f>((AF87*AE46)-(AF87*((AE46-AF46)*(1+$AT$46))))*Faktory!$D$8</f>
        <v>0</v>
      </c>
      <c r="AG97" s="490">
        <f t="shared" si="97"/>
        <v>0</v>
      </c>
      <c r="AH97" s="488">
        <f>AH16*AH46*Faktory!$D$8</f>
        <v>0</v>
      </c>
      <c r="AI97" s="489">
        <f>((AI87*AH46)-(AI87*((AH46-AI46)*(1+$AT$46))))*Faktory!$D$8</f>
        <v>0</v>
      </c>
      <c r="AJ97" s="490">
        <f t="shared" si="98"/>
        <v>0</v>
      </c>
      <c r="AK97" s="488">
        <f>AK16*AK46*Faktory!$D$8</f>
        <v>0</v>
      </c>
      <c r="AL97" s="489">
        <f>((AL87*AK46)-(AL87*((AK46-AL46)*(1+$AT$46))))*Faktory!$D$8</f>
        <v>0</v>
      </c>
      <c r="AM97" s="490">
        <f t="shared" si="99"/>
        <v>0</v>
      </c>
      <c r="AN97" s="488">
        <f>AN16*AN46*Faktory!$D$8</f>
        <v>0</v>
      </c>
      <c r="AO97" s="489">
        <f>((AO87*AN46)-(AO87*((AN46-AO46)*(1+$AT$46))))*Faktory!$D$8</f>
        <v>0</v>
      </c>
      <c r="AP97" s="490">
        <f t="shared" si="100"/>
        <v>0</v>
      </c>
      <c r="AQ97" s="488">
        <f>AQ16*AQ46*Faktory!$D$8</f>
        <v>0</v>
      </c>
      <c r="AR97" s="489">
        <f>((AR87*AQ46)-(AR87*((AQ46-AR46)*(1+$AT$46))))*Faktory!$D$8</f>
        <v>0</v>
      </c>
      <c r="AS97" s="490">
        <f t="shared" si="101"/>
        <v>0</v>
      </c>
    </row>
    <row r="98" spans="1:45" x14ac:dyDescent="0.25">
      <c r="A98" s="808"/>
      <c r="B98" s="810"/>
      <c r="C98" s="467" t="s">
        <v>26</v>
      </c>
      <c r="D98" s="468">
        <f t="shared" si="86"/>
        <v>0</v>
      </c>
      <c r="E98" s="469">
        <f t="shared" si="87"/>
        <v>0</v>
      </c>
      <c r="F98" s="470">
        <f t="shared" si="88"/>
        <v>0</v>
      </c>
      <c r="G98" s="477">
        <f t="shared" si="47"/>
        <v>0</v>
      </c>
      <c r="H98" s="478">
        <f t="shared" si="48"/>
        <v>0</v>
      </c>
      <c r="I98" s="417">
        <f t="shared" si="89"/>
        <v>0</v>
      </c>
      <c r="J98" s="478">
        <f>J17*J47*Faktory!$D$8</f>
        <v>0</v>
      </c>
      <c r="K98" s="478">
        <f>((K88*J47)-(K88*((J47-K47)*(1+$AT$46))))*Faktory!$D$8</f>
        <v>0</v>
      </c>
      <c r="L98" s="417">
        <f t="shared" si="90"/>
        <v>0</v>
      </c>
      <c r="M98" s="478">
        <f>M17*M47*Faktory!$D$8</f>
        <v>0</v>
      </c>
      <c r="N98" s="478">
        <f>((N88*M47)-(N88*((M47-N47)*(1+$AT$46))))*Faktory!$D$8</f>
        <v>0</v>
      </c>
      <c r="O98" s="417">
        <f t="shared" si="91"/>
        <v>0</v>
      </c>
      <c r="P98" s="478">
        <f>P17*P47*Faktory!$D$8</f>
        <v>0</v>
      </c>
      <c r="Q98" s="479">
        <f>((Q88*P47)-(Q88*((P47-Q47)*(1+$AT$46))))*Faktory!$D$8</f>
        <v>0</v>
      </c>
      <c r="R98" s="419">
        <f t="shared" si="92"/>
        <v>0</v>
      </c>
      <c r="S98" s="478">
        <f>S17*S47*Faktory!$D$8</f>
        <v>0</v>
      </c>
      <c r="T98" s="479">
        <f>((T88*S47)-(T88*((S47-T47)*(1+$AT$46))))*Faktory!$D$8</f>
        <v>0</v>
      </c>
      <c r="U98" s="419">
        <f t="shared" si="93"/>
        <v>0</v>
      </c>
      <c r="V98" s="478">
        <f>V17*V47*Faktory!$D$8</f>
        <v>0</v>
      </c>
      <c r="W98" s="479">
        <f>((W88*V47)-(W88*((V47-W47)*(1+$AT$46))))*Faktory!$D$8</f>
        <v>0</v>
      </c>
      <c r="X98" s="419">
        <f t="shared" si="94"/>
        <v>0</v>
      </c>
      <c r="Y98" s="478">
        <f>Y17*Y47*Faktory!$D$8</f>
        <v>0</v>
      </c>
      <c r="Z98" s="479">
        <f>((Z88*Y47)-(Z88*((Y47-Z47)*(1+$AT$46))))*Faktory!$D$8</f>
        <v>0</v>
      </c>
      <c r="AA98" s="419">
        <f t="shared" si="95"/>
        <v>0</v>
      </c>
      <c r="AB98" s="478">
        <f>AB17*AB47*Faktory!$D$8</f>
        <v>0</v>
      </c>
      <c r="AC98" s="479">
        <f>((AC88*AB47)-(AC88*((AB47-AC47)*(1+$AT$46))))*Faktory!$D$8</f>
        <v>0</v>
      </c>
      <c r="AD98" s="419">
        <f t="shared" si="96"/>
        <v>0</v>
      </c>
      <c r="AE98" s="478">
        <f>AE17*AE47*Faktory!$D$8</f>
        <v>0</v>
      </c>
      <c r="AF98" s="479">
        <f>((AF88*AE47)-(AF88*((AE47-AF47)*(1+$AT$46))))*Faktory!$D$8</f>
        <v>0</v>
      </c>
      <c r="AG98" s="419">
        <f t="shared" si="97"/>
        <v>0</v>
      </c>
      <c r="AH98" s="478">
        <f>AH17*AH47*Faktory!$D$8</f>
        <v>0</v>
      </c>
      <c r="AI98" s="479">
        <f>((AI88*AH47)-(AI88*((AH47-AI47)*(1+$AT$46))))*Faktory!$D$8</f>
        <v>0</v>
      </c>
      <c r="AJ98" s="419">
        <f t="shared" si="98"/>
        <v>0</v>
      </c>
      <c r="AK98" s="478">
        <f>AK17*AK47*Faktory!$D$8</f>
        <v>0</v>
      </c>
      <c r="AL98" s="479">
        <f>((AL88*AK47)-(AL88*((AK47-AL47)*(1+$AT$46))))*Faktory!$D$8</f>
        <v>0</v>
      </c>
      <c r="AM98" s="419">
        <f t="shared" si="99"/>
        <v>0</v>
      </c>
      <c r="AN98" s="478">
        <f>AN17*AN47*Faktory!$D$8</f>
        <v>0</v>
      </c>
      <c r="AO98" s="479">
        <f>((AO88*AN47)-(AO88*((AN47-AO47)*(1+$AT$46))))*Faktory!$D$8</f>
        <v>0</v>
      </c>
      <c r="AP98" s="419">
        <f t="shared" si="100"/>
        <v>0</v>
      </c>
      <c r="AQ98" s="478">
        <f>AQ17*AQ47*Faktory!$D$8</f>
        <v>0</v>
      </c>
      <c r="AR98" s="479">
        <f>((AR88*AQ47)-(AR88*((AQ47-AR47)*(1+$AT$46))))*Faktory!$D$8</f>
        <v>0</v>
      </c>
      <c r="AS98" s="419">
        <f t="shared" si="101"/>
        <v>0</v>
      </c>
    </row>
    <row r="99" spans="1:45" x14ac:dyDescent="0.25">
      <c r="A99" s="808"/>
      <c r="B99" s="810"/>
      <c r="C99" s="467" t="s">
        <v>27</v>
      </c>
      <c r="D99" s="468">
        <f t="shared" si="86"/>
        <v>4676365.0250000004</v>
      </c>
      <c r="E99" s="469">
        <f t="shared" si="87"/>
        <v>4091819.398</v>
      </c>
      <c r="F99" s="470">
        <f t="shared" si="88"/>
        <v>-584545.62700000033</v>
      </c>
      <c r="G99" s="477">
        <f t="shared" si="47"/>
        <v>4676365.0250000004</v>
      </c>
      <c r="H99" s="478">
        <f t="shared" si="48"/>
        <v>4091819.398</v>
      </c>
      <c r="I99" s="417">
        <f t="shared" si="89"/>
        <v>-584545.62700000033</v>
      </c>
      <c r="J99" s="478">
        <f>J18*J48*Faktory!$D$8</f>
        <v>0</v>
      </c>
      <c r="K99" s="478">
        <f>((K89*J48)-(K89*((J48-K48)*(1+$AT$46))))*Faktory!$D$8</f>
        <v>0</v>
      </c>
      <c r="L99" s="417">
        <f t="shared" si="90"/>
        <v>0</v>
      </c>
      <c r="M99" s="478">
        <f>M18*M48*Faktory!$D$8</f>
        <v>0</v>
      </c>
      <c r="N99" s="478">
        <f>((N89*M48)-(N89*((M48-N48)*(1+$AT$46))))*Faktory!$D$8</f>
        <v>0</v>
      </c>
      <c r="O99" s="417">
        <f t="shared" si="91"/>
        <v>0</v>
      </c>
      <c r="P99" s="478">
        <f>P18*P48*Faktory!$D$8</f>
        <v>0</v>
      </c>
      <c r="Q99" s="479">
        <f>((Q89*P48)-(Q89*((P48-Q48)*(1+$AT$46))))*Faktory!$D$8</f>
        <v>0</v>
      </c>
      <c r="R99" s="419">
        <f t="shared" si="92"/>
        <v>0</v>
      </c>
      <c r="S99" s="478">
        <f>S18*S48*Faktory!$D$8</f>
        <v>0</v>
      </c>
      <c r="T99" s="479">
        <f>((T89*S48)-(T89*((S48-T48)*(1+$AT$46))))*Faktory!$D$8</f>
        <v>0</v>
      </c>
      <c r="U99" s="419">
        <f t="shared" si="93"/>
        <v>0</v>
      </c>
      <c r="V99" s="478">
        <f>V18*V48*Faktory!$D$8</f>
        <v>0</v>
      </c>
      <c r="W99" s="479">
        <f>((W89*V48)-(W89*((V48-W48)*(1+$AT$46))))*Faktory!$D$8</f>
        <v>0</v>
      </c>
      <c r="X99" s="419">
        <f t="shared" si="94"/>
        <v>0</v>
      </c>
      <c r="Y99" s="478">
        <f>Y18*Y48*Faktory!$D$8</f>
        <v>0</v>
      </c>
      <c r="Z99" s="479">
        <f>((Z89*Y48)-(Z89*((Y48-Z48)*(1+$AT$46))))*Faktory!$D$8</f>
        <v>0</v>
      </c>
      <c r="AA99" s="419">
        <f t="shared" si="95"/>
        <v>0</v>
      </c>
      <c r="AB99" s="478">
        <f>AB18*AB48*Faktory!$D$8</f>
        <v>0</v>
      </c>
      <c r="AC99" s="479">
        <f>((AC89*AB48)-(AC89*((AB48-AC48)*(1+$AT$46))))*Faktory!$D$8</f>
        <v>0</v>
      </c>
      <c r="AD99" s="419">
        <f t="shared" si="96"/>
        <v>0</v>
      </c>
      <c r="AE99" s="478">
        <f>AE18*AE48*Faktory!$D$8</f>
        <v>0</v>
      </c>
      <c r="AF99" s="479">
        <f>((AF89*AE48)-(AF89*((AE48-AF48)*(1+$AT$46))))*Faktory!$D$8</f>
        <v>0</v>
      </c>
      <c r="AG99" s="419">
        <f t="shared" si="97"/>
        <v>0</v>
      </c>
      <c r="AH99" s="478">
        <f>AH18*AH48*Faktory!$D$8</f>
        <v>0</v>
      </c>
      <c r="AI99" s="479">
        <f>((AI89*AH48)-(AI89*((AH48-AI48)*(1+$AT$46))))*Faktory!$D$8</f>
        <v>0</v>
      </c>
      <c r="AJ99" s="419">
        <f t="shared" si="98"/>
        <v>0</v>
      </c>
      <c r="AK99" s="478">
        <f>AK18*AK48*Faktory!$D$8</f>
        <v>0</v>
      </c>
      <c r="AL99" s="479">
        <f>((AL89*AK48)-(AL89*((AK48-AL48)*(1+$AT$46))))*Faktory!$D$8</f>
        <v>0</v>
      </c>
      <c r="AM99" s="419">
        <f t="shared" si="99"/>
        <v>0</v>
      </c>
      <c r="AN99" s="478">
        <f>AN18*AN48*Faktory!$D$8</f>
        <v>0</v>
      </c>
      <c r="AO99" s="479">
        <f>((AO89*AN48)-(AO89*((AN48-AO48)*(1+$AT$46))))*Faktory!$D$8</f>
        <v>0</v>
      </c>
      <c r="AP99" s="419">
        <f t="shared" si="100"/>
        <v>0</v>
      </c>
      <c r="AQ99" s="478">
        <f>AQ18*AQ48*Faktory!$D$8</f>
        <v>0</v>
      </c>
      <c r="AR99" s="479">
        <f>((AR89*AQ48)-(AR89*((AQ48-AR48)*(1+$AT$46))))*Faktory!$D$8</f>
        <v>0</v>
      </c>
      <c r="AS99" s="419">
        <f t="shared" si="101"/>
        <v>0</v>
      </c>
    </row>
    <row r="100" spans="1:45" x14ac:dyDescent="0.25">
      <c r="A100" s="808"/>
      <c r="B100" s="810"/>
      <c r="C100" s="467" t="s">
        <v>28</v>
      </c>
      <c r="D100" s="468">
        <f t="shared" si="86"/>
        <v>9352730.0500000007</v>
      </c>
      <c r="E100" s="469">
        <f t="shared" si="87"/>
        <v>8183638.7960000001</v>
      </c>
      <c r="F100" s="470">
        <f t="shared" si="88"/>
        <v>-1169091.2540000007</v>
      </c>
      <c r="G100" s="477">
        <f t="shared" si="47"/>
        <v>9352730.0500000007</v>
      </c>
      <c r="H100" s="478">
        <f t="shared" si="48"/>
        <v>8183638.7960000001</v>
      </c>
      <c r="I100" s="417">
        <f t="shared" si="89"/>
        <v>-1169091.2540000007</v>
      </c>
      <c r="J100" s="478">
        <f>J19*J49*Faktory!$D$8</f>
        <v>0</v>
      </c>
      <c r="K100" s="478">
        <f>((K90*J49)-(K90*((J49-K49)*(1+$AT$46))))*Faktory!$D$8</f>
        <v>0</v>
      </c>
      <c r="L100" s="417">
        <f t="shared" si="90"/>
        <v>0</v>
      </c>
      <c r="M100" s="478">
        <f>M19*M49*Faktory!$D$8</f>
        <v>0</v>
      </c>
      <c r="N100" s="478">
        <f>((N90*M49)-(N90*((M49-N49)*(1+$AT$46))))*Faktory!$D$8</f>
        <v>0</v>
      </c>
      <c r="O100" s="417">
        <f t="shared" si="91"/>
        <v>0</v>
      </c>
      <c r="P100" s="478">
        <f>P19*P49*Faktory!$D$8</f>
        <v>0</v>
      </c>
      <c r="Q100" s="479">
        <f>((Q90*P49)-(Q90*((P49-Q49)*(1+$AT$46))))*Faktory!$D$8</f>
        <v>0</v>
      </c>
      <c r="R100" s="419">
        <f t="shared" si="92"/>
        <v>0</v>
      </c>
      <c r="S100" s="478">
        <f>S19*S49*Faktory!$D$8</f>
        <v>0</v>
      </c>
      <c r="T100" s="479">
        <f>((T90*S49)-(T90*((S49-T49)*(1+$AT$46))))*Faktory!$D$8</f>
        <v>0</v>
      </c>
      <c r="U100" s="419">
        <f t="shared" si="93"/>
        <v>0</v>
      </c>
      <c r="V100" s="478">
        <f>V19*V49*Faktory!$D$8</f>
        <v>0</v>
      </c>
      <c r="W100" s="479">
        <f>((W90*V49)-(W90*((V49-W49)*(1+$AT$46))))*Faktory!$D$8</f>
        <v>0</v>
      </c>
      <c r="X100" s="419">
        <f t="shared" si="94"/>
        <v>0</v>
      </c>
      <c r="Y100" s="478">
        <f>Y19*Y49*Faktory!$D$8</f>
        <v>0</v>
      </c>
      <c r="Z100" s="479">
        <f>((Z90*Y49)-(Z90*((Y49-Z49)*(1+$AT$46))))*Faktory!$D$8</f>
        <v>0</v>
      </c>
      <c r="AA100" s="419">
        <f t="shared" si="95"/>
        <v>0</v>
      </c>
      <c r="AB100" s="478">
        <f>AB19*AB49*Faktory!$D$8</f>
        <v>0</v>
      </c>
      <c r="AC100" s="479">
        <f>((AC90*AB49)-(AC90*((AB49-AC49)*(1+$AT$46))))*Faktory!$D$8</f>
        <v>0</v>
      </c>
      <c r="AD100" s="419">
        <f t="shared" si="96"/>
        <v>0</v>
      </c>
      <c r="AE100" s="478">
        <f>AE19*AE49*Faktory!$D$8</f>
        <v>0</v>
      </c>
      <c r="AF100" s="479">
        <f>((AF90*AE49)-(AF90*((AE49-AF49)*(1+$AT$46))))*Faktory!$D$8</f>
        <v>0</v>
      </c>
      <c r="AG100" s="419">
        <f t="shared" si="97"/>
        <v>0</v>
      </c>
      <c r="AH100" s="478">
        <f>AH19*AH49*Faktory!$D$8</f>
        <v>0</v>
      </c>
      <c r="AI100" s="479">
        <f>((AI90*AH49)-(AI90*((AH49-AI49)*(1+$AT$46))))*Faktory!$D$8</f>
        <v>0</v>
      </c>
      <c r="AJ100" s="419">
        <f t="shared" si="98"/>
        <v>0</v>
      </c>
      <c r="AK100" s="478">
        <f>AK19*AK49*Faktory!$D$8</f>
        <v>0</v>
      </c>
      <c r="AL100" s="479">
        <f>((AL90*AK49)-(AL90*((AK49-AL49)*(1+$AT$46))))*Faktory!$D$8</f>
        <v>0</v>
      </c>
      <c r="AM100" s="419">
        <f t="shared" si="99"/>
        <v>0</v>
      </c>
      <c r="AN100" s="478">
        <f>AN19*AN49*Faktory!$D$8</f>
        <v>0</v>
      </c>
      <c r="AO100" s="479">
        <f>((AO90*AN49)-(AO90*((AN49-AO49)*(1+$AT$46))))*Faktory!$D$8</f>
        <v>0</v>
      </c>
      <c r="AP100" s="419">
        <f t="shared" si="100"/>
        <v>0</v>
      </c>
      <c r="AQ100" s="478">
        <f>AQ19*AQ49*Faktory!$D$8</f>
        <v>0</v>
      </c>
      <c r="AR100" s="479">
        <f>((AR90*AQ49)-(AR90*((AQ49-AR49)*(1+$AT$46))))*Faktory!$D$8</f>
        <v>0</v>
      </c>
      <c r="AS100" s="419">
        <f t="shared" si="101"/>
        <v>0</v>
      </c>
    </row>
    <row r="101" spans="1:45" x14ac:dyDescent="0.25">
      <c r="A101" s="808"/>
      <c r="B101" s="810"/>
      <c r="C101" s="467" t="s">
        <v>29</v>
      </c>
      <c r="D101" s="468">
        <f t="shared" si="86"/>
        <v>9352730.0500000007</v>
      </c>
      <c r="E101" s="469">
        <f t="shared" si="87"/>
        <v>8183638.7960000001</v>
      </c>
      <c r="F101" s="470">
        <f t="shared" si="88"/>
        <v>-1169091.2540000007</v>
      </c>
      <c r="G101" s="477">
        <f t="shared" si="47"/>
        <v>9352730.0500000007</v>
      </c>
      <c r="H101" s="478">
        <f t="shared" si="48"/>
        <v>8183638.7960000001</v>
      </c>
      <c r="I101" s="417">
        <f t="shared" si="89"/>
        <v>-1169091.2540000007</v>
      </c>
      <c r="J101" s="478">
        <f>J20*J50*Faktory!$D$8</f>
        <v>0</v>
      </c>
      <c r="K101" s="478">
        <f>((K91*J50)-(K91*((J50-K50)*(1+$AT$46))))*Faktory!$D$8</f>
        <v>0</v>
      </c>
      <c r="L101" s="417">
        <f t="shared" si="90"/>
        <v>0</v>
      </c>
      <c r="M101" s="478">
        <f>M20*M50*Faktory!$D$8</f>
        <v>0</v>
      </c>
      <c r="N101" s="478">
        <f>((N91*M50)-(N91*((M50-N50)*(1+$AT$46))))*Faktory!$D$8</f>
        <v>0</v>
      </c>
      <c r="O101" s="417">
        <f t="shared" si="91"/>
        <v>0</v>
      </c>
      <c r="P101" s="478">
        <f>P20*P50*Faktory!$D$8</f>
        <v>0</v>
      </c>
      <c r="Q101" s="479">
        <f>((Q91*P50)-(Q91*((P50-Q50)*(1+$AT$46))))*Faktory!$D$8</f>
        <v>0</v>
      </c>
      <c r="R101" s="419">
        <f t="shared" si="92"/>
        <v>0</v>
      </c>
      <c r="S101" s="478">
        <f>S20*S50*Faktory!$D$8</f>
        <v>0</v>
      </c>
      <c r="T101" s="479">
        <f>((T91*S50)-(T91*((S50-T50)*(1+$AT$46))))*Faktory!$D$8</f>
        <v>0</v>
      </c>
      <c r="U101" s="419">
        <f t="shared" si="93"/>
        <v>0</v>
      </c>
      <c r="V101" s="478">
        <f>V20*V50*Faktory!$D$8</f>
        <v>0</v>
      </c>
      <c r="W101" s="479">
        <f>((W91*V50)-(W91*((V50-W50)*(1+$AT$46))))*Faktory!$D$8</f>
        <v>0</v>
      </c>
      <c r="X101" s="419">
        <f t="shared" si="94"/>
        <v>0</v>
      </c>
      <c r="Y101" s="478">
        <f>Y20*Y50*Faktory!$D$8</f>
        <v>0</v>
      </c>
      <c r="Z101" s="479">
        <f>((Z91*Y50)-(Z91*((Y50-Z50)*(1+$AT$46))))*Faktory!$D$8</f>
        <v>0</v>
      </c>
      <c r="AA101" s="419">
        <f t="shared" si="95"/>
        <v>0</v>
      </c>
      <c r="AB101" s="478">
        <f>AB20*AB50*Faktory!$D$8</f>
        <v>0</v>
      </c>
      <c r="AC101" s="479">
        <f>((AC91*AB50)-(AC91*((AB50-AC50)*(1+$AT$46))))*Faktory!$D$8</f>
        <v>0</v>
      </c>
      <c r="AD101" s="419">
        <f t="shared" si="96"/>
        <v>0</v>
      </c>
      <c r="AE101" s="478">
        <f>AE20*AE50*Faktory!$D$8</f>
        <v>0</v>
      </c>
      <c r="AF101" s="479">
        <f>((AF91*AE50)-(AF91*((AE50-AF50)*(1+$AT$46))))*Faktory!$D$8</f>
        <v>0</v>
      </c>
      <c r="AG101" s="419">
        <f t="shared" si="97"/>
        <v>0</v>
      </c>
      <c r="AH101" s="478">
        <f>AH20*AH50*Faktory!$D$8</f>
        <v>0</v>
      </c>
      <c r="AI101" s="479">
        <f>((AI91*AH50)-(AI91*((AH50-AI50)*(1+$AT$46))))*Faktory!$D$8</f>
        <v>0</v>
      </c>
      <c r="AJ101" s="419">
        <f t="shared" si="98"/>
        <v>0</v>
      </c>
      <c r="AK101" s="478">
        <f>AK20*AK50*Faktory!$D$8</f>
        <v>0</v>
      </c>
      <c r="AL101" s="479">
        <f>((AL91*AK50)-(AL91*((AK50-AL50)*(1+$AT$46))))*Faktory!$D$8</f>
        <v>0</v>
      </c>
      <c r="AM101" s="419">
        <f t="shared" si="99"/>
        <v>0</v>
      </c>
      <c r="AN101" s="478">
        <f>AN20*AN50*Faktory!$D$8</f>
        <v>0</v>
      </c>
      <c r="AO101" s="479">
        <f>((AO91*AN50)-(AO91*((AN50-AO50)*(1+$AT$46))))*Faktory!$D$8</f>
        <v>0</v>
      </c>
      <c r="AP101" s="419">
        <f t="shared" si="100"/>
        <v>0</v>
      </c>
      <c r="AQ101" s="478">
        <f>AQ20*AQ50*Faktory!$D$8</f>
        <v>0</v>
      </c>
      <c r="AR101" s="479">
        <f>((AR91*AQ50)-(AR91*((AQ50-AR50)*(1+$AT$46))))*Faktory!$D$8</f>
        <v>0</v>
      </c>
      <c r="AS101" s="419">
        <f t="shared" si="101"/>
        <v>0</v>
      </c>
    </row>
    <row r="102" spans="1:45" x14ac:dyDescent="0.25">
      <c r="A102" s="808"/>
      <c r="B102" s="810"/>
      <c r="C102" s="467" t="s">
        <v>30</v>
      </c>
      <c r="D102" s="468">
        <f t="shared" si="86"/>
        <v>9352730.0500000007</v>
      </c>
      <c r="E102" s="469">
        <f t="shared" si="87"/>
        <v>8183638.7960000001</v>
      </c>
      <c r="F102" s="470">
        <f t="shared" si="88"/>
        <v>-1169091.2540000007</v>
      </c>
      <c r="G102" s="477">
        <f t="shared" si="47"/>
        <v>9352730.0500000007</v>
      </c>
      <c r="H102" s="478">
        <f t="shared" si="48"/>
        <v>8183638.7960000001</v>
      </c>
      <c r="I102" s="417">
        <f t="shared" si="89"/>
        <v>-1169091.2540000007</v>
      </c>
      <c r="J102" s="478">
        <f>J21*J51*Faktory!$D$8</f>
        <v>0</v>
      </c>
      <c r="K102" s="478">
        <f>((K92*J51)-(K92*((J51-K51)*(1+$AT$46))))*Faktory!$D$8</f>
        <v>0</v>
      </c>
      <c r="L102" s="417">
        <f t="shared" si="90"/>
        <v>0</v>
      </c>
      <c r="M102" s="478">
        <f>M21*M51*Faktory!$D$8</f>
        <v>0</v>
      </c>
      <c r="N102" s="478">
        <f>((N92*M51)-(N92*((M51-N51)*(1+$AT$46))))*Faktory!$D$8</f>
        <v>0</v>
      </c>
      <c r="O102" s="417">
        <f t="shared" si="91"/>
        <v>0</v>
      </c>
      <c r="P102" s="478">
        <f>P21*P51*Faktory!$D$8</f>
        <v>0</v>
      </c>
      <c r="Q102" s="479">
        <f>((Q92*P51)-(Q92*((P51-Q51)*(1+$AT$46))))*Faktory!$D$8</f>
        <v>0</v>
      </c>
      <c r="R102" s="419">
        <f t="shared" si="92"/>
        <v>0</v>
      </c>
      <c r="S102" s="478">
        <f>S21*S51*Faktory!$D$8</f>
        <v>0</v>
      </c>
      <c r="T102" s="479">
        <f>((T92*S51)-(T92*((S51-T51)*(1+$AT$46))))*Faktory!$D$8</f>
        <v>0</v>
      </c>
      <c r="U102" s="419">
        <f t="shared" si="93"/>
        <v>0</v>
      </c>
      <c r="V102" s="478">
        <f>V21*V51*Faktory!$D$8</f>
        <v>0</v>
      </c>
      <c r="W102" s="479">
        <f>((W92*V51)-(W92*((V51-W51)*(1+$AT$46))))*Faktory!$D$8</f>
        <v>0</v>
      </c>
      <c r="X102" s="419">
        <f t="shared" si="94"/>
        <v>0</v>
      </c>
      <c r="Y102" s="478">
        <f>Y21*Y51*Faktory!$D$8</f>
        <v>0</v>
      </c>
      <c r="Z102" s="479">
        <f>((Z92*Y51)-(Z92*((Y51-Z51)*(1+$AT$46))))*Faktory!$D$8</f>
        <v>0</v>
      </c>
      <c r="AA102" s="419">
        <f t="shared" si="95"/>
        <v>0</v>
      </c>
      <c r="AB102" s="478">
        <f>AB21*AB51*Faktory!$D$8</f>
        <v>0</v>
      </c>
      <c r="AC102" s="479">
        <f>((AC92*AB51)-(AC92*((AB51-AC51)*(1+$AT$46))))*Faktory!$D$8</f>
        <v>0</v>
      </c>
      <c r="AD102" s="419">
        <f t="shared" si="96"/>
        <v>0</v>
      </c>
      <c r="AE102" s="478">
        <f>AE21*AE51*Faktory!$D$8</f>
        <v>0</v>
      </c>
      <c r="AF102" s="479">
        <f>((AF92*AE51)-(AF92*((AE51-AF51)*(1+$AT$46))))*Faktory!$D$8</f>
        <v>0</v>
      </c>
      <c r="AG102" s="419">
        <f t="shared" si="97"/>
        <v>0</v>
      </c>
      <c r="AH102" s="478">
        <f>AH21*AH51*Faktory!$D$8</f>
        <v>0</v>
      </c>
      <c r="AI102" s="479">
        <f>((AI92*AH51)-(AI92*((AH51-AI51)*(1+$AT$46))))*Faktory!$D$8</f>
        <v>0</v>
      </c>
      <c r="AJ102" s="419">
        <f t="shared" si="98"/>
        <v>0</v>
      </c>
      <c r="AK102" s="478">
        <f>AK21*AK51*Faktory!$D$8</f>
        <v>0</v>
      </c>
      <c r="AL102" s="479">
        <f>((AL92*AK51)-(AL92*((AK51-AL51)*(1+$AT$46))))*Faktory!$D$8</f>
        <v>0</v>
      </c>
      <c r="AM102" s="419">
        <f t="shared" si="99"/>
        <v>0</v>
      </c>
      <c r="AN102" s="478">
        <f>AN21*AN51*Faktory!$D$8</f>
        <v>0</v>
      </c>
      <c r="AO102" s="479">
        <f>((AO92*AN51)-(AO92*((AN51-AO51)*(1+$AT$46))))*Faktory!$D$8</f>
        <v>0</v>
      </c>
      <c r="AP102" s="419">
        <f t="shared" si="100"/>
        <v>0</v>
      </c>
      <c r="AQ102" s="478">
        <f>AQ21*AQ51*Faktory!$D$8</f>
        <v>0</v>
      </c>
      <c r="AR102" s="479">
        <f>((AR92*AQ51)-(AR92*((AQ51-AR51)*(1+$AT$46))))*Faktory!$D$8</f>
        <v>0</v>
      </c>
      <c r="AS102" s="419">
        <f t="shared" si="101"/>
        <v>0</v>
      </c>
    </row>
    <row r="103" spans="1:45" x14ac:dyDescent="0.25">
      <c r="A103" s="808"/>
      <c r="B103" s="810"/>
      <c r="C103" s="467" t="s">
        <v>31</v>
      </c>
      <c r="D103" s="468">
        <f t="shared" si="86"/>
        <v>9352730.0500000007</v>
      </c>
      <c r="E103" s="469">
        <f t="shared" si="87"/>
        <v>8183638.7960000001</v>
      </c>
      <c r="F103" s="470">
        <f t="shared" si="88"/>
        <v>-1169091.2540000007</v>
      </c>
      <c r="G103" s="477">
        <f t="shared" si="47"/>
        <v>9352730.0500000007</v>
      </c>
      <c r="H103" s="478">
        <f t="shared" si="48"/>
        <v>8183638.7960000001</v>
      </c>
      <c r="I103" s="417">
        <f t="shared" si="89"/>
        <v>-1169091.2540000007</v>
      </c>
      <c r="J103" s="478">
        <f>J22*J52*Faktory!$D$8</f>
        <v>0</v>
      </c>
      <c r="K103" s="478">
        <f>((K93*J52)-(K93*((J52-K52)*(1+$AT$46))))*Faktory!$D$8</f>
        <v>0</v>
      </c>
      <c r="L103" s="417">
        <f t="shared" si="90"/>
        <v>0</v>
      </c>
      <c r="M103" s="478">
        <f>M22*M52*Faktory!$D$8</f>
        <v>0</v>
      </c>
      <c r="N103" s="478">
        <f>((N93*M52)-(N93*((M52-N52)*(1+$AT$46))))*Faktory!$D$8</f>
        <v>0</v>
      </c>
      <c r="O103" s="417">
        <f t="shared" si="91"/>
        <v>0</v>
      </c>
      <c r="P103" s="478">
        <f>P22*P52*Faktory!$D$8</f>
        <v>0</v>
      </c>
      <c r="Q103" s="479">
        <f>((Q93*P52)-(Q93*((P52-Q52)*(1+$AT$46))))*Faktory!$D$8</f>
        <v>0</v>
      </c>
      <c r="R103" s="419">
        <f t="shared" si="92"/>
        <v>0</v>
      </c>
      <c r="S103" s="478">
        <f>S22*S52*Faktory!$D$8</f>
        <v>0</v>
      </c>
      <c r="T103" s="479">
        <f>((T93*S52)-(T93*((S52-T52)*(1+$AT$46))))*Faktory!$D$8</f>
        <v>0</v>
      </c>
      <c r="U103" s="419">
        <f t="shared" si="93"/>
        <v>0</v>
      </c>
      <c r="V103" s="478">
        <f>V22*V52*Faktory!$D$8</f>
        <v>0</v>
      </c>
      <c r="W103" s="479">
        <f>((W93*V52)-(W93*((V52-W52)*(1+$AT$46))))*Faktory!$D$8</f>
        <v>0</v>
      </c>
      <c r="X103" s="419">
        <f t="shared" si="94"/>
        <v>0</v>
      </c>
      <c r="Y103" s="478">
        <f>Y22*Y52*Faktory!$D$8</f>
        <v>0</v>
      </c>
      <c r="Z103" s="479">
        <f>((Z93*Y52)-(Z93*((Y52-Z52)*(1+$AT$46))))*Faktory!$D$8</f>
        <v>0</v>
      </c>
      <c r="AA103" s="419">
        <f t="shared" si="95"/>
        <v>0</v>
      </c>
      <c r="AB103" s="478">
        <f>AB22*AB52*Faktory!$D$8</f>
        <v>0</v>
      </c>
      <c r="AC103" s="479">
        <f>((AC93*AB52)-(AC93*((AB52-AC52)*(1+$AT$46))))*Faktory!$D$8</f>
        <v>0</v>
      </c>
      <c r="AD103" s="419">
        <f t="shared" si="96"/>
        <v>0</v>
      </c>
      <c r="AE103" s="478">
        <f>AE22*AE52*Faktory!$D$8</f>
        <v>0</v>
      </c>
      <c r="AF103" s="479">
        <f>((AF93*AE52)-(AF93*((AE52-AF52)*(1+$AT$46))))*Faktory!$D$8</f>
        <v>0</v>
      </c>
      <c r="AG103" s="419">
        <f t="shared" si="97"/>
        <v>0</v>
      </c>
      <c r="AH103" s="478">
        <f>AH22*AH52*Faktory!$D$8</f>
        <v>0</v>
      </c>
      <c r="AI103" s="479">
        <f>((AI93*AH52)-(AI93*((AH52-AI52)*(1+$AT$46))))*Faktory!$D$8</f>
        <v>0</v>
      </c>
      <c r="AJ103" s="419">
        <f t="shared" si="98"/>
        <v>0</v>
      </c>
      <c r="AK103" s="478">
        <f>AK22*AK52*Faktory!$D$8</f>
        <v>0</v>
      </c>
      <c r="AL103" s="479">
        <f>((AL93*AK52)-(AL93*((AK52-AL52)*(1+$AT$46))))*Faktory!$D$8</f>
        <v>0</v>
      </c>
      <c r="AM103" s="419">
        <f t="shared" si="99"/>
        <v>0</v>
      </c>
      <c r="AN103" s="478">
        <f>AN22*AN52*Faktory!$D$8</f>
        <v>0</v>
      </c>
      <c r="AO103" s="479">
        <f>((AO93*AN52)-(AO93*((AN52-AO52)*(1+$AT$46))))*Faktory!$D$8</f>
        <v>0</v>
      </c>
      <c r="AP103" s="419">
        <f t="shared" si="100"/>
        <v>0</v>
      </c>
      <c r="AQ103" s="478">
        <f>AQ22*AQ52*Faktory!$D$8</f>
        <v>0</v>
      </c>
      <c r="AR103" s="479">
        <f>((AR93*AQ52)-(AR93*((AQ52-AR52)*(1+$AT$46))))*Faktory!$D$8</f>
        <v>0</v>
      </c>
      <c r="AS103" s="419">
        <f t="shared" si="101"/>
        <v>0</v>
      </c>
    </row>
    <row r="104" spans="1:45" x14ac:dyDescent="0.25">
      <c r="A104" s="808"/>
      <c r="B104" s="810"/>
      <c r="C104" s="467" t="s">
        <v>32</v>
      </c>
      <c r="D104" s="468">
        <f t="shared" si="86"/>
        <v>9352730.0500000007</v>
      </c>
      <c r="E104" s="469">
        <f t="shared" si="87"/>
        <v>8183638.7960000001</v>
      </c>
      <c r="F104" s="470">
        <f t="shared" si="88"/>
        <v>-1169091.2540000007</v>
      </c>
      <c r="G104" s="477">
        <f t="shared" si="47"/>
        <v>9352730.0500000007</v>
      </c>
      <c r="H104" s="478">
        <f t="shared" si="48"/>
        <v>8183638.7960000001</v>
      </c>
      <c r="I104" s="417">
        <f t="shared" si="89"/>
        <v>-1169091.2540000007</v>
      </c>
      <c r="J104" s="478">
        <f>J23*J53*Faktory!$D$8</f>
        <v>0</v>
      </c>
      <c r="K104" s="478">
        <f>((K94*J53)-(K94*((J53-K53)*(1+$AT$46))))*Faktory!$D$8</f>
        <v>0</v>
      </c>
      <c r="L104" s="417">
        <f t="shared" si="90"/>
        <v>0</v>
      </c>
      <c r="M104" s="478">
        <f>M23*M53*Faktory!$D$8</f>
        <v>0</v>
      </c>
      <c r="N104" s="478">
        <f>((N94*M53)-(N94*((M53-N53)*(1+$AT$46))))*Faktory!$D$8</f>
        <v>0</v>
      </c>
      <c r="O104" s="417">
        <f t="shared" si="91"/>
        <v>0</v>
      </c>
      <c r="P104" s="478">
        <f>P23*P53*Faktory!$D$8</f>
        <v>0</v>
      </c>
      <c r="Q104" s="479">
        <f>((Q94*P53)-(Q94*((P53-Q53)*(1+$AT$46))))*Faktory!$D$8</f>
        <v>0</v>
      </c>
      <c r="R104" s="419">
        <f t="shared" si="92"/>
        <v>0</v>
      </c>
      <c r="S104" s="478">
        <f>S23*S53*Faktory!$D$8</f>
        <v>0</v>
      </c>
      <c r="T104" s="479">
        <f>((T94*S53)-(T94*((S53-T53)*(1+$AT$46))))*Faktory!$D$8</f>
        <v>0</v>
      </c>
      <c r="U104" s="419">
        <f t="shared" si="93"/>
        <v>0</v>
      </c>
      <c r="V104" s="478">
        <f>V23*V53*Faktory!$D$8</f>
        <v>0</v>
      </c>
      <c r="W104" s="479">
        <f>((W94*V53)-(W94*((V53-W53)*(1+$AT$46))))*Faktory!$D$8</f>
        <v>0</v>
      </c>
      <c r="X104" s="419">
        <f t="shared" si="94"/>
        <v>0</v>
      </c>
      <c r="Y104" s="478">
        <f>Y23*Y53*Faktory!$D$8</f>
        <v>0</v>
      </c>
      <c r="Z104" s="479">
        <f>((Z94*Y53)-(Z94*((Y53-Z53)*(1+$AT$46))))*Faktory!$D$8</f>
        <v>0</v>
      </c>
      <c r="AA104" s="419">
        <f t="shared" si="95"/>
        <v>0</v>
      </c>
      <c r="AB104" s="478">
        <f>AB23*AB53*Faktory!$D$8</f>
        <v>0</v>
      </c>
      <c r="AC104" s="479">
        <f>((AC94*AB53)-(AC94*((AB53-AC53)*(1+$AT$46))))*Faktory!$D$8</f>
        <v>0</v>
      </c>
      <c r="AD104" s="419">
        <f t="shared" si="96"/>
        <v>0</v>
      </c>
      <c r="AE104" s="478">
        <f>AE23*AE53*Faktory!$D$8</f>
        <v>0</v>
      </c>
      <c r="AF104" s="479">
        <f>((AF94*AE53)-(AF94*((AE53-AF53)*(1+$AT$46))))*Faktory!$D$8</f>
        <v>0</v>
      </c>
      <c r="AG104" s="419">
        <f t="shared" si="97"/>
        <v>0</v>
      </c>
      <c r="AH104" s="478">
        <f>AH23*AH53*Faktory!$D$8</f>
        <v>0</v>
      </c>
      <c r="AI104" s="479">
        <f>((AI94*AH53)-(AI94*((AH53-AI53)*(1+$AT$46))))*Faktory!$D$8</f>
        <v>0</v>
      </c>
      <c r="AJ104" s="419">
        <f t="shared" si="98"/>
        <v>0</v>
      </c>
      <c r="AK104" s="478">
        <f>AK23*AK53*Faktory!$D$8</f>
        <v>0</v>
      </c>
      <c r="AL104" s="479">
        <f>((AL94*AK53)-(AL94*((AK53-AL53)*(1+$AT$46))))*Faktory!$D$8</f>
        <v>0</v>
      </c>
      <c r="AM104" s="419">
        <f t="shared" si="99"/>
        <v>0</v>
      </c>
      <c r="AN104" s="478">
        <f>AN23*AN53*Faktory!$D$8</f>
        <v>0</v>
      </c>
      <c r="AO104" s="479">
        <f>((AO94*AN53)-(AO94*((AN53-AO53)*(1+$AT$46))))*Faktory!$D$8</f>
        <v>0</v>
      </c>
      <c r="AP104" s="419">
        <f t="shared" si="100"/>
        <v>0</v>
      </c>
      <c r="AQ104" s="478">
        <f>AQ23*AQ53*Faktory!$D$8</f>
        <v>0</v>
      </c>
      <c r="AR104" s="479">
        <f>((AR94*AQ53)-(AR94*((AQ53-AR53)*(1+$AT$46))))*Faktory!$D$8</f>
        <v>0</v>
      </c>
      <c r="AS104" s="419">
        <f t="shared" si="101"/>
        <v>0</v>
      </c>
    </row>
    <row r="105" spans="1:45" x14ac:dyDescent="0.25">
      <c r="A105" s="808"/>
      <c r="B105" s="810"/>
      <c r="C105" s="467" t="s">
        <v>33</v>
      </c>
      <c r="D105" s="468">
        <f t="shared" si="86"/>
        <v>9352730.0500000007</v>
      </c>
      <c r="E105" s="469">
        <f t="shared" si="87"/>
        <v>8183638.7960000001</v>
      </c>
      <c r="F105" s="470">
        <f t="shared" si="88"/>
        <v>-1169091.2540000007</v>
      </c>
      <c r="G105" s="477">
        <f t="shared" si="47"/>
        <v>9352730.0500000007</v>
      </c>
      <c r="H105" s="478">
        <f t="shared" si="48"/>
        <v>8183638.7960000001</v>
      </c>
      <c r="I105" s="417">
        <f t="shared" si="89"/>
        <v>-1169091.2540000007</v>
      </c>
      <c r="J105" s="478">
        <f>J24*J54*Faktory!$D$8</f>
        <v>0</v>
      </c>
      <c r="K105" s="478">
        <f>((K95*J54)-(K95*((J54-K54)*(1+$AT$46))))*Faktory!$D$8</f>
        <v>0</v>
      </c>
      <c r="L105" s="417">
        <f t="shared" si="90"/>
        <v>0</v>
      </c>
      <c r="M105" s="478">
        <f>M24*M54*Faktory!$D$8</f>
        <v>0</v>
      </c>
      <c r="N105" s="478">
        <f>((N95*M54)-(N95*((M54-N54)*(1+$AT$46))))*Faktory!$D$8</f>
        <v>0</v>
      </c>
      <c r="O105" s="417">
        <f t="shared" si="91"/>
        <v>0</v>
      </c>
      <c r="P105" s="478">
        <f>P24*P54*Faktory!$D$8</f>
        <v>0</v>
      </c>
      <c r="Q105" s="479">
        <f>((Q95*P54)-(Q95*((P54-Q54)*(1+$AT$46))))*Faktory!$D$8</f>
        <v>0</v>
      </c>
      <c r="R105" s="419">
        <f t="shared" si="92"/>
        <v>0</v>
      </c>
      <c r="S105" s="478">
        <f>S24*S54*Faktory!$D$8</f>
        <v>0</v>
      </c>
      <c r="T105" s="479">
        <f>((T95*S54)-(T95*((S54-T54)*(1+$AT$46))))*Faktory!$D$8</f>
        <v>0</v>
      </c>
      <c r="U105" s="419">
        <f t="shared" si="93"/>
        <v>0</v>
      </c>
      <c r="V105" s="478">
        <f>V24*V54*Faktory!$D$8</f>
        <v>0</v>
      </c>
      <c r="W105" s="479">
        <f>((W95*V54)-(W95*((V54-W54)*(1+$AT$46))))*Faktory!$D$8</f>
        <v>0</v>
      </c>
      <c r="X105" s="419">
        <f t="shared" si="94"/>
        <v>0</v>
      </c>
      <c r="Y105" s="478">
        <f>Y24*Y54*Faktory!$D$8</f>
        <v>0</v>
      </c>
      <c r="Z105" s="479">
        <f>((Z95*Y54)-(Z95*((Y54-Z54)*(1+$AT$46))))*Faktory!$D$8</f>
        <v>0</v>
      </c>
      <c r="AA105" s="419">
        <f t="shared" si="95"/>
        <v>0</v>
      </c>
      <c r="AB105" s="478">
        <f>AB24*AB54*Faktory!$D$8</f>
        <v>0</v>
      </c>
      <c r="AC105" s="479">
        <f>((AC95*AB54)-(AC95*((AB54-AC54)*(1+$AT$46))))*Faktory!$D$8</f>
        <v>0</v>
      </c>
      <c r="AD105" s="419">
        <f t="shared" si="96"/>
        <v>0</v>
      </c>
      <c r="AE105" s="478">
        <f>AE24*AE54*Faktory!$D$8</f>
        <v>0</v>
      </c>
      <c r="AF105" s="479">
        <f>((AF95*AE54)-(AF95*((AE54-AF54)*(1+$AT$46))))*Faktory!$D$8</f>
        <v>0</v>
      </c>
      <c r="AG105" s="419">
        <f t="shared" si="97"/>
        <v>0</v>
      </c>
      <c r="AH105" s="478">
        <f>AH24*AH54*Faktory!$D$8</f>
        <v>0</v>
      </c>
      <c r="AI105" s="479">
        <f>((AI95*AH54)-(AI95*((AH54-AI54)*(1+$AT$46))))*Faktory!$D$8</f>
        <v>0</v>
      </c>
      <c r="AJ105" s="419">
        <f t="shared" si="98"/>
        <v>0</v>
      </c>
      <c r="AK105" s="478">
        <f>AK24*AK54*Faktory!$D$8</f>
        <v>0</v>
      </c>
      <c r="AL105" s="479">
        <f>((AL95*AK54)-(AL95*((AK54-AL54)*(1+$AT$46))))*Faktory!$D$8</f>
        <v>0</v>
      </c>
      <c r="AM105" s="419">
        <f t="shared" si="99"/>
        <v>0</v>
      </c>
      <c r="AN105" s="478">
        <f>AN24*AN54*Faktory!$D$8</f>
        <v>0</v>
      </c>
      <c r="AO105" s="479">
        <f>((AO95*AN54)-(AO95*((AN54-AO54)*(1+$AT$46))))*Faktory!$D$8</f>
        <v>0</v>
      </c>
      <c r="AP105" s="419">
        <f t="shared" si="100"/>
        <v>0</v>
      </c>
      <c r="AQ105" s="478">
        <f>AQ24*AQ54*Faktory!$D$8</f>
        <v>0</v>
      </c>
      <c r="AR105" s="479">
        <f>((AR95*AQ54)-(AR95*((AQ54-AR54)*(1+$AT$46))))*Faktory!$D$8</f>
        <v>0</v>
      </c>
      <c r="AS105" s="419">
        <f t="shared" si="101"/>
        <v>0</v>
      </c>
    </row>
    <row r="106" spans="1:45" ht="15.75" thickBot="1" x14ac:dyDescent="0.3">
      <c r="A106" s="809"/>
      <c r="B106" s="811"/>
      <c r="C106" s="480" t="s">
        <v>34</v>
      </c>
      <c r="D106" s="481">
        <f t="shared" si="86"/>
        <v>9352730.0500000007</v>
      </c>
      <c r="E106" s="482">
        <f t="shared" si="87"/>
        <v>8183638.7960000001</v>
      </c>
      <c r="F106" s="483">
        <f t="shared" si="88"/>
        <v>-1169091.2540000007</v>
      </c>
      <c r="G106" s="484">
        <f t="shared" si="47"/>
        <v>9352730.0500000007</v>
      </c>
      <c r="H106" s="485">
        <f t="shared" si="48"/>
        <v>8183638.7960000001</v>
      </c>
      <c r="I106" s="426">
        <f t="shared" si="89"/>
        <v>-1169091.2540000007</v>
      </c>
      <c r="J106" s="485">
        <f>J25*J55*Faktory!$D$8</f>
        <v>0</v>
      </c>
      <c r="K106" s="485">
        <f>((K96*J55)-(K96*((J55-K55)*(1+$AT$46))))*Faktory!$D$8</f>
        <v>0</v>
      </c>
      <c r="L106" s="426">
        <f t="shared" si="90"/>
        <v>0</v>
      </c>
      <c r="M106" s="485">
        <f>M25*M55*Faktory!$D$8</f>
        <v>0</v>
      </c>
      <c r="N106" s="485">
        <f>((N96*M55)-(N96*((M55-N55)*(1+$AT$46))))*Faktory!$D$8</f>
        <v>0</v>
      </c>
      <c r="O106" s="426">
        <f t="shared" si="91"/>
        <v>0</v>
      </c>
      <c r="P106" s="485">
        <f>P25*P55*Faktory!$D$8</f>
        <v>0</v>
      </c>
      <c r="Q106" s="486">
        <f>((Q96*P55)-(Q96*((P55-Q55)*(1+$AT$46))))*Faktory!$D$8</f>
        <v>0</v>
      </c>
      <c r="R106" s="428">
        <f t="shared" si="92"/>
        <v>0</v>
      </c>
      <c r="S106" s="485">
        <f>S25*S55*Faktory!$D$8</f>
        <v>0</v>
      </c>
      <c r="T106" s="486">
        <f>((T96*S55)-(T96*((S55-T55)*(1+$AT$46))))*Faktory!$D$8</f>
        <v>0</v>
      </c>
      <c r="U106" s="428">
        <f t="shared" si="93"/>
        <v>0</v>
      </c>
      <c r="V106" s="485">
        <f>V25*V55*Faktory!$D$8</f>
        <v>0</v>
      </c>
      <c r="W106" s="486">
        <f>((W96*V55)-(W96*((V55-W55)*(1+$AT$46))))*Faktory!$D$8</f>
        <v>0</v>
      </c>
      <c r="X106" s="428">
        <f t="shared" si="94"/>
        <v>0</v>
      </c>
      <c r="Y106" s="485">
        <f>Y25*Y55*Faktory!$D$8</f>
        <v>0</v>
      </c>
      <c r="Z106" s="486">
        <f>((Z96*Y55)-(Z96*((Y55-Z55)*(1+$AT$46))))*Faktory!$D$8</f>
        <v>0</v>
      </c>
      <c r="AA106" s="428">
        <f t="shared" si="95"/>
        <v>0</v>
      </c>
      <c r="AB106" s="485">
        <f>AB25*AB55*Faktory!$D$8</f>
        <v>0</v>
      </c>
      <c r="AC106" s="486">
        <f>((AC96*AB55)-(AC96*((AB55-AC55)*(1+$AT$46))))*Faktory!$D$8</f>
        <v>0</v>
      </c>
      <c r="AD106" s="428">
        <f t="shared" si="96"/>
        <v>0</v>
      </c>
      <c r="AE106" s="485">
        <f>AE25*AE55*Faktory!$D$8</f>
        <v>0</v>
      </c>
      <c r="AF106" s="486">
        <f>((AF96*AE55)-(AF96*((AE55-AF55)*(1+$AT$46))))*Faktory!$D$8</f>
        <v>0</v>
      </c>
      <c r="AG106" s="428">
        <f t="shared" si="97"/>
        <v>0</v>
      </c>
      <c r="AH106" s="485">
        <f>AH25*AH55*Faktory!$D$8</f>
        <v>0</v>
      </c>
      <c r="AI106" s="486">
        <f>((AI96*AH55)-(AI96*((AH55-AI55)*(1+$AT$46))))*Faktory!$D$8</f>
        <v>0</v>
      </c>
      <c r="AJ106" s="428">
        <f t="shared" si="98"/>
        <v>0</v>
      </c>
      <c r="AK106" s="485">
        <f>AK25*AK55*Faktory!$D$8</f>
        <v>0</v>
      </c>
      <c r="AL106" s="486">
        <f>((AL96*AK55)-(AL96*((AK55-AL55)*(1+$AT$46))))*Faktory!$D$8</f>
        <v>0</v>
      </c>
      <c r="AM106" s="428">
        <f t="shared" si="99"/>
        <v>0</v>
      </c>
      <c r="AN106" s="485">
        <f>AN25*AN55*Faktory!$D$8</f>
        <v>0</v>
      </c>
      <c r="AO106" s="486">
        <f>((AO96*AN55)-(AO96*((AN55-AO55)*(1+$AT$46))))*Faktory!$D$8</f>
        <v>0</v>
      </c>
      <c r="AP106" s="428">
        <f t="shared" si="100"/>
        <v>0</v>
      </c>
      <c r="AQ106" s="485">
        <f>AQ25*AQ55*Faktory!$D$8</f>
        <v>0</v>
      </c>
      <c r="AR106" s="486">
        <f>((AR96*AQ55)-(AR96*((AQ55-AR55)*(1+$AT$46))))*Faktory!$D$8</f>
        <v>0</v>
      </c>
      <c r="AS106" s="428">
        <f t="shared" si="101"/>
        <v>0</v>
      </c>
    </row>
    <row r="107" spans="1:45" x14ac:dyDescent="0.25">
      <c r="A107" s="808" t="s">
        <v>187</v>
      </c>
      <c r="B107" s="810" t="s">
        <v>188</v>
      </c>
      <c r="C107" s="467" t="s">
        <v>25</v>
      </c>
      <c r="D107" s="492">
        <f t="shared" si="86"/>
        <v>0</v>
      </c>
      <c r="E107" s="493">
        <f t="shared" si="87"/>
        <v>0</v>
      </c>
      <c r="F107" s="494">
        <f t="shared" si="88"/>
        <v>0</v>
      </c>
      <c r="G107" s="495">
        <f t="shared" ref="G107:H116" si="102">(G16*G46)/12/21/7.5</f>
        <v>0</v>
      </c>
      <c r="H107" s="496">
        <f t="shared" si="102"/>
        <v>0</v>
      </c>
      <c r="I107" s="497">
        <f t="shared" si="89"/>
        <v>0</v>
      </c>
      <c r="J107" s="496">
        <f t="shared" ref="J107:K116" si="103">(J16*J46)/12/21/7.5</f>
        <v>0</v>
      </c>
      <c r="K107" s="496">
        <f t="shared" si="103"/>
        <v>0</v>
      </c>
      <c r="L107" s="497">
        <f t="shared" si="90"/>
        <v>0</v>
      </c>
      <c r="M107" s="496">
        <f t="shared" ref="M107:N116" si="104">(M16*M46)/12/21/7.5</f>
        <v>0</v>
      </c>
      <c r="N107" s="496">
        <f t="shared" si="104"/>
        <v>0</v>
      </c>
      <c r="O107" s="497">
        <f t="shared" si="91"/>
        <v>0</v>
      </c>
      <c r="P107" s="496">
        <f t="shared" ref="P107:Q116" si="105">(P16*P46)/12/21/7.5</f>
        <v>0</v>
      </c>
      <c r="Q107" s="498">
        <f t="shared" si="105"/>
        <v>0</v>
      </c>
      <c r="R107" s="499">
        <f t="shared" si="92"/>
        <v>0</v>
      </c>
      <c r="S107" s="496">
        <f t="shared" ref="S107:T116" si="106">(S16*S46)/12/21/7.5</f>
        <v>0</v>
      </c>
      <c r="T107" s="498">
        <f t="shared" si="106"/>
        <v>0</v>
      </c>
      <c r="U107" s="499">
        <f t="shared" si="93"/>
        <v>0</v>
      </c>
      <c r="V107" s="496">
        <f t="shared" ref="V107:W116" si="107">(V16*V46)/12/21/7.5</f>
        <v>0</v>
      </c>
      <c r="W107" s="498">
        <f t="shared" si="107"/>
        <v>0</v>
      </c>
      <c r="X107" s="499">
        <f t="shared" si="94"/>
        <v>0</v>
      </c>
      <c r="Y107" s="496">
        <f t="shared" ref="Y107:Z116" si="108">(Y16*Y46)/12/21/7.5</f>
        <v>0</v>
      </c>
      <c r="Z107" s="498">
        <f t="shared" si="108"/>
        <v>0</v>
      </c>
      <c r="AA107" s="499">
        <f t="shared" si="95"/>
        <v>0</v>
      </c>
      <c r="AB107" s="496">
        <f t="shared" ref="AB107:AC116" si="109">(AB16*AB46)/12/21/7.5</f>
        <v>0</v>
      </c>
      <c r="AC107" s="498">
        <f t="shared" si="109"/>
        <v>0</v>
      </c>
      <c r="AD107" s="499">
        <f t="shared" si="96"/>
        <v>0</v>
      </c>
      <c r="AE107" s="496">
        <f t="shared" ref="AE107:AF116" si="110">(AE16*AE46)/12/21/7.5</f>
        <v>0</v>
      </c>
      <c r="AF107" s="498">
        <f t="shared" si="110"/>
        <v>0</v>
      </c>
      <c r="AG107" s="499">
        <f t="shared" si="97"/>
        <v>0</v>
      </c>
      <c r="AH107" s="496">
        <f t="shared" ref="AH107:AI116" si="111">(AH16*AH46)/12/21/7.5</f>
        <v>0</v>
      </c>
      <c r="AI107" s="498">
        <f t="shared" si="111"/>
        <v>0</v>
      </c>
      <c r="AJ107" s="499">
        <f t="shared" si="98"/>
        <v>0</v>
      </c>
      <c r="AK107" s="496">
        <f t="shared" ref="AK107:AL116" si="112">(AK16*AK46)/12/21/7.5</f>
        <v>0</v>
      </c>
      <c r="AL107" s="498">
        <f t="shared" si="112"/>
        <v>0</v>
      </c>
      <c r="AM107" s="499">
        <f t="shared" si="99"/>
        <v>0</v>
      </c>
      <c r="AN107" s="496">
        <f t="shared" ref="AN107:AO116" si="113">(AN16*AN46)/12/21/7.5</f>
        <v>0</v>
      </c>
      <c r="AO107" s="498">
        <f t="shared" si="113"/>
        <v>0</v>
      </c>
      <c r="AP107" s="499">
        <f t="shared" si="100"/>
        <v>0</v>
      </c>
      <c r="AQ107" s="496">
        <f t="shared" ref="AQ107:AR116" si="114">(AQ16*AQ46)/12/21/7.5</f>
        <v>0</v>
      </c>
      <c r="AR107" s="498">
        <f t="shared" si="114"/>
        <v>0</v>
      </c>
      <c r="AS107" s="499">
        <f t="shared" si="101"/>
        <v>0</v>
      </c>
    </row>
    <row r="108" spans="1:45" x14ac:dyDescent="0.25">
      <c r="A108" s="808"/>
      <c r="B108" s="810"/>
      <c r="C108" s="467" t="s">
        <v>26</v>
      </c>
      <c r="D108" s="492">
        <f t="shared" si="86"/>
        <v>0</v>
      </c>
      <c r="E108" s="493">
        <f t="shared" si="87"/>
        <v>0</v>
      </c>
      <c r="F108" s="494">
        <f t="shared" si="88"/>
        <v>0</v>
      </c>
      <c r="G108" s="500">
        <f t="shared" si="102"/>
        <v>0</v>
      </c>
      <c r="H108" s="501">
        <f t="shared" si="102"/>
        <v>0</v>
      </c>
      <c r="I108" s="502">
        <f t="shared" si="89"/>
        <v>0</v>
      </c>
      <c r="J108" s="501">
        <f t="shared" si="103"/>
        <v>0</v>
      </c>
      <c r="K108" s="501">
        <f t="shared" si="103"/>
        <v>0</v>
      </c>
      <c r="L108" s="502">
        <f t="shared" si="90"/>
        <v>0</v>
      </c>
      <c r="M108" s="501">
        <f t="shared" si="104"/>
        <v>0</v>
      </c>
      <c r="N108" s="501">
        <f t="shared" si="104"/>
        <v>0</v>
      </c>
      <c r="O108" s="502">
        <f t="shared" si="91"/>
        <v>0</v>
      </c>
      <c r="P108" s="501">
        <f t="shared" si="105"/>
        <v>0</v>
      </c>
      <c r="Q108" s="503">
        <f t="shared" si="105"/>
        <v>0</v>
      </c>
      <c r="R108" s="504">
        <f t="shared" si="92"/>
        <v>0</v>
      </c>
      <c r="S108" s="501">
        <f t="shared" si="106"/>
        <v>0</v>
      </c>
      <c r="T108" s="503">
        <f t="shared" si="106"/>
        <v>0</v>
      </c>
      <c r="U108" s="504">
        <f t="shared" si="93"/>
        <v>0</v>
      </c>
      <c r="V108" s="501">
        <f t="shared" si="107"/>
        <v>0</v>
      </c>
      <c r="W108" s="503">
        <f t="shared" si="107"/>
        <v>0</v>
      </c>
      <c r="X108" s="504">
        <f t="shared" si="94"/>
        <v>0</v>
      </c>
      <c r="Y108" s="501">
        <f t="shared" si="108"/>
        <v>0</v>
      </c>
      <c r="Z108" s="503">
        <f t="shared" si="108"/>
        <v>0</v>
      </c>
      <c r="AA108" s="504">
        <f t="shared" si="95"/>
        <v>0</v>
      </c>
      <c r="AB108" s="501">
        <f t="shared" si="109"/>
        <v>0</v>
      </c>
      <c r="AC108" s="503">
        <f t="shared" si="109"/>
        <v>0</v>
      </c>
      <c r="AD108" s="504">
        <f t="shared" si="96"/>
        <v>0</v>
      </c>
      <c r="AE108" s="501">
        <f t="shared" si="110"/>
        <v>0</v>
      </c>
      <c r="AF108" s="503">
        <f t="shared" si="110"/>
        <v>0</v>
      </c>
      <c r="AG108" s="504">
        <f t="shared" si="97"/>
        <v>0</v>
      </c>
      <c r="AH108" s="501">
        <f t="shared" si="111"/>
        <v>0</v>
      </c>
      <c r="AI108" s="503">
        <f t="shared" si="111"/>
        <v>0</v>
      </c>
      <c r="AJ108" s="504">
        <f t="shared" si="98"/>
        <v>0</v>
      </c>
      <c r="AK108" s="501">
        <f t="shared" si="112"/>
        <v>0</v>
      </c>
      <c r="AL108" s="503">
        <f t="shared" si="112"/>
        <v>0</v>
      </c>
      <c r="AM108" s="504">
        <f t="shared" si="99"/>
        <v>0</v>
      </c>
      <c r="AN108" s="501">
        <f t="shared" si="113"/>
        <v>0</v>
      </c>
      <c r="AO108" s="503">
        <f t="shared" si="113"/>
        <v>0</v>
      </c>
      <c r="AP108" s="504">
        <f t="shared" si="100"/>
        <v>0</v>
      </c>
      <c r="AQ108" s="501">
        <f t="shared" si="114"/>
        <v>0</v>
      </c>
      <c r="AR108" s="503">
        <f t="shared" si="114"/>
        <v>0</v>
      </c>
      <c r="AS108" s="504">
        <f t="shared" si="101"/>
        <v>0</v>
      </c>
    </row>
    <row r="109" spans="1:45" x14ac:dyDescent="0.25">
      <c r="A109" s="808"/>
      <c r="B109" s="810"/>
      <c r="C109" s="467" t="s">
        <v>27</v>
      </c>
      <c r="D109" s="492">
        <f t="shared" si="86"/>
        <v>0</v>
      </c>
      <c r="E109" s="493">
        <f t="shared" si="87"/>
        <v>0</v>
      </c>
      <c r="F109" s="494">
        <f t="shared" si="88"/>
        <v>0</v>
      </c>
      <c r="G109" s="500">
        <f t="shared" si="102"/>
        <v>0</v>
      </c>
      <c r="H109" s="501">
        <f t="shared" si="102"/>
        <v>0</v>
      </c>
      <c r="I109" s="502">
        <f t="shared" si="89"/>
        <v>0</v>
      </c>
      <c r="J109" s="501">
        <f t="shared" si="103"/>
        <v>0</v>
      </c>
      <c r="K109" s="501">
        <f t="shared" si="103"/>
        <v>0</v>
      </c>
      <c r="L109" s="502">
        <f t="shared" si="90"/>
        <v>0</v>
      </c>
      <c r="M109" s="501">
        <f t="shared" si="104"/>
        <v>0</v>
      </c>
      <c r="N109" s="501">
        <f t="shared" si="104"/>
        <v>0</v>
      </c>
      <c r="O109" s="502">
        <f t="shared" si="91"/>
        <v>0</v>
      </c>
      <c r="P109" s="501">
        <f t="shared" si="105"/>
        <v>0</v>
      </c>
      <c r="Q109" s="503">
        <f t="shared" si="105"/>
        <v>0</v>
      </c>
      <c r="R109" s="504">
        <f t="shared" si="92"/>
        <v>0</v>
      </c>
      <c r="S109" s="501">
        <f t="shared" si="106"/>
        <v>0</v>
      </c>
      <c r="T109" s="503">
        <f t="shared" si="106"/>
        <v>0</v>
      </c>
      <c r="U109" s="504">
        <f t="shared" si="93"/>
        <v>0</v>
      </c>
      <c r="V109" s="501">
        <f t="shared" si="107"/>
        <v>0</v>
      </c>
      <c r="W109" s="503">
        <f t="shared" si="107"/>
        <v>0</v>
      </c>
      <c r="X109" s="504">
        <f t="shared" si="94"/>
        <v>0</v>
      </c>
      <c r="Y109" s="501">
        <f t="shared" si="108"/>
        <v>0</v>
      </c>
      <c r="Z109" s="503">
        <f t="shared" si="108"/>
        <v>0</v>
      </c>
      <c r="AA109" s="504">
        <f t="shared" si="95"/>
        <v>0</v>
      </c>
      <c r="AB109" s="501">
        <f t="shared" si="109"/>
        <v>0</v>
      </c>
      <c r="AC109" s="503">
        <f t="shared" si="109"/>
        <v>0</v>
      </c>
      <c r="AD109" s="504">
        <f t="shared" si="96"/>
        <v>0</v>
      </c>
      <c r="AE109" s="501">
        <f t="shared" si="110"/>
        <v>0</v>
      </c>
      <c r="AF109" s="503">
        <f t="shared" si="110"/>
        <v>0</v>
      </c>
      <c r="AG109" s="504">
        <f t="shared" si="97"/>
        <v>0</v>
      </c>
      <c r="AH109" s="501">
        <f t="shared" si="111"/>
        <v>0</v>
      </c>
      <c r="AI109" s="503">
        <f t="shared" si="111"/>
        <v>0</v>
      </c>
      <c r="AJ109" s="504">
        <f t="shared" si="98"/>
        <v>0</v>
      </c>
      <c r="AK109" s="501">
        <f t="shared" si="112"/>
        <v>0</v>
      </c>
      <c r="AL109" s="503">
        <f t="shared" si="112"/>
        <v>0</v>
      </c>
      <c r="AM109" s="504">
        <f t="shared" si="99"/>
        <v>0</v>
      </c>
      <c r="AN109" s="501">
        <f t="shared" si="113"/>
        <v>0</v>
      </c>
      <c r="AO109" s="503">
        <f t="shared" si="113"/>
        <v>0</v>
      </c>
      <c r="AP109" s="504">
        <f t="shared" si="100"/>
        <v>0</v>
      </c>
      <c r="AQ109" s="501">
        <f t="shared" si="114"/>
        <v>0</v>
      </c>
      <c r="AR109" s="503">
        <f t="shared" si="114"/>
        <v>0</v>
      </c>
      <c r="AS109" s="504">
        <f t="shared" si="101"/>
        <v>0</v>
      </c>
    </row>
    <row r="110" spans="1:45" x14ac:dyDescent="0.25">
      <c r="A110" s="808"/>
      <c r="B110" s="810"/>
      <c r="C110" s="467" t="s">
        <v>28</v>
      </c>
      <c r="D110" s="492">
        <f t="shared" si="86"/>
        <v>0</v>
      </c>
      <c r="E110" s="493">
        <f t="shared" si="87"/>
        <v>0</v>
      </c>
      <c r="F110" s="494">
        <f t="shared" si="88"/>
        <v>0</v>
      </c>
      <c r="G110" s="500">
        <f t="shared" si="102"/>
        <v>0</v>
      </c>
      <c r="H110" s="501">
        <f t="shared" si="102"/>
        <v>0</v>
      </c>
      <c r="I110" s="502">
        <f t="shared" si="89"/>
        <v>0</v>
      </c>
      <c r="J110" s="501">
        <f t="shared" si="103"/>
        <v>0</v>
      </c>
      <c r="K110" s="501">
        <f t="shared" si="103"/>
        <v>0</v>
      </c>
      <c r="L110" s="502">
        <f t="shared" si="90"/>
        <v>0</v>
      </c>
      <c r="M110" s="501">
        <f t="shared" si="104"/>
        <v>0</v>
      </c>
      <c r="N110" s="501">
        <f t="shared" si="104"/>
        <v>0</v>
      </c>
      <c r="O110" s="502">
        <f t="shared" si="91"/>
        <v>0</v>
      </c>
      <c r="P110" s="501">
        <f t="shared" si="105"/>
        <v>0</v>
      </c>
      <c r="Q110" s="503">
        <f t="shared" si="105"/>
        <v>0</v>
      </c>
      <c r="R110" s="504">
        <f t="shared" si="92"/>
        <v>0</v>
      </c>
      <c r="S110" s="501">
        <f t="shared" si="106"/>
        <v>0</v>
      </c>
      <c r="T110" s="503">
        <f t="shared" si="106"/>
        <v>0</v>
      </c>
      <c r="U110" s="504">
        <f t="shared" si="93"/>
        <v>0</v>
      </c>
      <c r="V110" s="501">
        <f t="shared" si="107"/>
        <v>0</v>
      </c>
      <c r="W110" s="503">
        <f t="shared" si="107"/>
        <v>0</v>
      </c>
      <c r="X110" s="504">
        <f t="shared" si="94"/>
        <v>0</v>
      </c>
      <c r="Y110" s="501">
        <f t="shared" si="108"/>
        <v>0</v>
      </c>
      <c r="Z110" s="503">
        <f t="shared" si="108"/>
        <v>0</v>
      </c>
      <c r="AA110" s="504">
        <f t="shared" si="95"/>
        <v>0</v>
      </c>
      <c r="AB110" s="501">
        <f t="shared" si="109"/>
        <v>0</v>
      </c>
      <c r="AC110" s="503">
        <f t="shared" si="109"/>
        <v>0</v>
      </c>
      <c r="AD110" s="504">
        <f t="shared" si="96"/>
        <v>0</v>
      </c>
      <c r="AE110" s="501">
        <f t="shared" si="110"/>
        <v>0</v>
      </c>
      <c r="AF110" s="503">
        <f t="shared" si="110"/>
        <v>0</v>
      </c>
      <c r="AG110" s="504">
        <f t="shared" si="97"/>
        <v>0</v>
      </c>
      <c r="AH110" s="501">
        <f t="shared" si="111"/>
        <v>0</v>
      </c>
      <c r="AI110" s="503">
        <f t="shared" si="111"/>
        <v>0</v>
      </c>
      <c r="AJ110" s="504">
        <f t="shared" si="98"/>
        <v>0</v>
      </c>
      <c r="AK110" s="501">
        <f t="shared" si="112"/>
        <v>0</v>
      </c>
      <c r="AL110" s="503">
        <f t="shared" si="112"/>
        <v>0</v>
      </c>
      <c r="AM110" s="504">
        <f t="shared" si="99"/>
        <v>0</v>
      </c>
      <c r="AN110" s="501">
        <f t="shared" si="113"/>
        <v>0</v>
      </c>
      <c r="AO110" s="503">
        <f t="shared" si="113"/>
        <v>0</v>
      </c>
      <c r="AP110" s="504">
        <f t="shared" si="100"/>
        <v>0</v>
      </c>
      <c r="AQ110" s="501">
        <f t="shared" si="114"/>
        <v>0</v>
      </c>
      <c r="AR110" s="503">
        <f t="shared" si="114"/>
        <v>0</v>
      </c>
      <c r="AS110" s="504">
        <f t="shared" si="101"/>
        <v>0</v>
      </c>
    </row>
    <row r="111" spans="1:45" x14ac:dyDescent="0.25">
      <c r="A111" s="808"/>
      <c r="B111" s="810"/>
      <c r="C111" s="467" t="s">
        <v>29</v>
      </c>
      <c r="D111" s="492">
        <f t="shared" si="86"/>
        <v>0</v>
      </c>
      <c r="E111" s="493">
        <f t="shared" si="87"/>
        <v>0</v>
      </c>
      <c r="F111" s="494">
        <f t="shared" si="88"/>
        <v>0</v>
      </c>
      <c r="G111" s="500">
        <f t="shared" si="102"/>
        <v>0</v>
      </c>
      <c r="H111" s="501">
        <f t="shared" si="102"/>
        <v>0</v>
      </c>
      <c r="I111" s="502">
        <f t="shared" si="89"/>
        <v>0</v>
      </c>
      <c r="J111" s="501">
        <f t="shared" si="103"/>
        <v>0</v>
      </c>
      <c r="K111" s="501">
        <f t="shared" si="103"/>
        <v>0</v>
      </c>
      <c r="L111" s="502">
        <f t="shared" si="90"/>
        <v>0</v>
      </c>
      <c r="M111" s="501">
        <f t="shared" si="104"/>
        <v>0</v>
      </c>
      <c r="N111" s="501">
        <f t="shared" si="104"/>
        <v>0</v>
      </c>
      <c r="O111" s="502">
        <f t="shared" si="91"/>
        <v>0</v>
      </c>
      <c r="P111" s="501">
        <f t="shared" si="105"/>
        <v>0</v>
      </c>
      <c r="Q111" s="503">
        <f t="shared" si="105"/>
        <v>0</v>
      </c>
      <c r="R111" s="504">
        <f t="shared" si="92"/>
        <v>0</v>
      </c>
      <c r="S111" s="501">
        <f t="shared" si="106"/>
        <v>0</v>
      </c>
      <c r="T111" s="503">
        <f t="shared" si="106"/>
        <v>0</v>
      </c>
      <c r="U111" s="504">
        <f t="shared" si="93"/>
        <v>0</v>
      </c>
      <c r="V111" s="501">
        <f t="shared" si="107"/>
        <v>0</v>
      </c>
      <c r="W111" s="503">
        <f t="shared" si="107"/>
        <v>0</v>
      </c>
      <c r="X111" s="504">
        <f t="shared" si="94"/>
        <v>0</v>
      </c>
      <c r="Y111" s="501">
        <f t="shared" si="108"/>
        <v>0</v>
      </c>
      <c r="Z111" s="503">
        <f t="shared" si="108"/>
        <v>0</v>
      </c>
      <c r="AA111" s="504">
        <f t="shared" si="95"/>
        <v>0</v>
      </c>
      <c r="AB111" s="501">
        <f t="shared" si="109"/>
        <v>0</v>
      </c>
      <c r="AC111" s="503">
        <f t="shared" si="109"/>
        <v>0</v>
      </c>
      <c r="AD111" s="504">
        <f t="shared" si="96"/>
        <v>0</v>
      </c>
      <c r="AE111" s="501">
        <f t="shared" si="110"/>
        <v>0</v>
      </c>
      <c r="AF111" s="503">
        <f t="shared" si="110"/>
        <v>0</v>
      </c>
      <c r="AG111" s="504">
        <f t="shared" si="97"/>
        <v>0</v>
      </c>
      <c r="AH111" s="501">
        <f t="shared" si="111"/>
        <v>0</v>
      </c>
      <c r="AI111" s="503">
        <f t="shared" si="111"/>
        <v>0</v>
      </c>
      <c r="AJ111" s="504">
        <f t="shared" si="98"/>
        <v>0</v>
      </c>
      <c r="AK111" s="501">
        <f t="shared" si="112"/>
        <v>0</v>
      </c>
      <c r="AL111" s="503">
        <f t="shared" si="112"/>
        <v>0</v>
      </c>
      <c r="AM111" s="504">
        <f t="shared" si="99"/>
        <v>0</v>
      </c>
      <c r="AN111" s="501">
        <f t="shared" si="113"/>
        <v>0</v>
      </c>
      <c r="AO111" s="503">
        <f t="shared" si="113"/>
        <v>0</v>
      </c>
      <c r="AP111" s="504">
        <f t="shared" si="100"/>
        <v>0</v>
      </c>
      <c r="AQ111" s="501">
        <f t="shared" si="114"/>
        <v>0</v>
      </c>
      <c r="AR111" s="503">
        <f t="shared" si="114"/>
        <v>0</v>
      </c>
      <c r="AS111" s="504">
        <f t="shared" si="101"/>
        <v>0</v>
      </c>
    </row>
    <row r="112" spans="1:45" x14ac:dyDescent="0.25">
      <c r="A112" s="808"/>
      <c r="B112" s="810"/>
      <c r="C112" s="467" t="s">
        <v>30</v>
      </c>
      <c r="D112" s="492">
        <f t="shared" si="86"/>
        <v>0</v>
      </c>
      <c r="E112" s="493">
        <f t="shared" si="87"/>
        <v>0</v>
      </c>
      <c r="F112" s="494">
        <f t="shared" si="88"/>
        <v>0</v>
      </c>
      <c r="G112" s="500">
        <f t="shared" si="102"/>
        <v>0</v>
      </c>
      <c r="H112" s="501">
        <f t="shared" si="102"/>
        <v>0</v>
      </c>
      <c r="I112" s="502">
        <f t="shared" si="89"/>
        <v>0</v>
      </c>
      <c r="J112" s="501">
        <f t="shared" si="103"/>
        <v>0</v>
      </c>
      <c r="K112" s="501">
        <f t="shared" si="103"/>
        <v>0</v>
      </c>
      <c r="L112" s="502">
        <f t="shared" si="90"/>
        <v>0</v>
      </c>
      <c r="M112" s="501">
        <f t="shared" si="104"/>
        <v>0</v>
      </c>
      <c r="N112" s="501">
        <f t="shared" si="104"/>
        <v>0</v>
      </c>
      <c r="O112" s="502">
        <f t="shared" si="91"/>
        <v>0</v>
      </c>
      <c r="P112" s="501">
        <f t="shared" si="105"/>
        <v>0</v>
      </c>
      <c r="Q112" s="503">
        <f t="shared" si="105"/>
        <v>0</v>
      </c>
      <c r="R112" s="504">
        <f t="shared" si="92"/>
        <v>0</v>
      </c>
      <c r="S112" s="501">
        <f t="shared" si="106"/>
        <v>0</v>
      </c>
      <c r="T112" s="503">
        <f t="shared" si="106"/>
        <v>0</v>
      </c>
      <c r="U112" s="504">
        <f t="shared" si="93"/>
        <v>0</v>
      </c>
      <c r="V112" s="501">
        <f t="shared" si="107"/>
        <v>0</v>
      </c>
      <c r="W112" s="503">
        <f t="shared" si="107"/>
        <v>0</v>
      </c>
      <c r="X112" s="504">
        <f t="shared" si="94"/>
        <v>0</v>
      </c>
      <c r="Y112" s="501">
        <f t="shared" si="108"/>
        <v>0</v>
      </c>
      <c r="Z112" s="503">
        <f t="shared" si="108"/>
        <v>0</v>
      </c>
      <c r="AA112" s="504">
        <f t="shared" si="95"/>
        <v>0</v>
      </c>
      <c r="AB112" s="501">
        <f t="shared" si="109"/>
        <v>0</v>
      </c>
      <c r="AC112" s="503">
        <f t="shared" si="109"/>
        <v>0</v>
      </c>
      <c r="AD112" s="504">
        <f t="shared" si="96"/>
        <v>0</v>
      </c>
      <c r="AE112" s="501">
        <f t="shared" si="110"/>
        <v>0</v>
      </c>
      <c r="AF112" s="503">
        <f t="shared" si="110"/>
        <v>0</v>
      </c>
      <c r="AG112" s="504">
        <f t="shared" si="97"/>
        <v>0</v>
      </c>
      <c r="AH112" s="501">
        <f t="shared" si="111"/>
        <v>0</v>
      </c>
      <c r="AI112" s="503">
        <f t="shared" si="111"/>
        <v>0</v>
      </c>
      <c r="AJ112" s="504">
        <f t="shared" si="98"/>
        <v>0</v>
      </c>
      <c r="AK112" s="501">
        <f t="shared" si="112"/>
        <v>0</v>
      </c>
      <c r="AL112" s="503">
        <f t="shared" si="112"/>
        <v>0</v>
      </c>
      <c r="AM112" s="504">
        <f t="shared" si="99"/>
        <v>0</v>
      </c>
      <c r="AN112" s="501">
        <f t="shared" si="113"/>
        <v>0</v>
      </c>
      <c r="AO112" s="503">
        <f t="shared" si="113"/>
        <v>0</v>
      </c>
      <c r="AP112" s="504">
        <f t="shared" si="100"/>
        <v>0</v>
      </c>
      <c r="AQ112" s="501">
        <f t="shared" si="114"/>
        <v>0</v>
      </c>
      <c r="AR112" s="503">
        <f t="shared" si="114"/>
        <v>0</v>
      </c>
      <c r="AS112" s="504">
        <f t="shared" si="101"/>
        <v>0</v>
      </c>
    </row>
    <row r="113" spans="1:45" x14ac:dyDescent="0.25">
      <c r="A113" s="808"/>
      <c r="B113" s="810"/>
      <c r="C113" s="467" t="s">
        <v>31</v>
      </c>
      <c r="D113" s="492">
        <f t="shared" si="86"/>
        <v>0</v>
      </c>
      <c r="E113" s="493">
        <f t="shared" si="87"/>
        <v>0</v>
      </c>
      <c r="F113" s="494">
        <f t="shared" si="88"/>
        <v>0</v>
      </c>
      <c r="G113" s="500">
        <f t="shared" si="102"/>
        <v>0</v>
      </c>
      <c r="H113" s="501">
        <f t="shared" si="102"/>
        <v>0</v>
      </c>
      <c r="I113" s="502">
        <f t="shared" si="89"/>
        <v>0</v>
      </c>
      <c r="J113" s="501">
        <f t="shared" si="103"/>
        <v>0</v>
      </c>
      <c r="K113" s="501">
        <f t="shared" si="103"/>
        <v>0</v>
      </c>
      <c r="L113" s="502">
        <f t="shared" si="90"/>
        <v>0</v>
      </c>
      <c r="M113" s="501">
        <f t="shared" si="104"/>
        <v>0</v>
      </c>
      <c r="N113" s="501">
        <f t="shared" si="104"/>
        <v>0</v>
      </c>
      <c r="O113" s="502">
        <f t="shared" si="91"/>
        <v>0</v>
      </c>
      <c r="P113" s="501">
        <f t="shared" si="105"/>
        <v>0</v>
      </c>
      <c r="Q113" s="503">
        <f t="shared" si="105"/>
        <v>0</v>
      </c>
      <c r="R113" s="504">
        <f t="shared" si="92"/>
        <v>0</v>
      </c>
      <c r="S113" s="501">
        <f t="shared" si="106"/>
        <v>0</v>
      </c>
      <c r="T113" s="503">
        <f t="shared" si="106"/>
        <v>0</v>
      </c>
      <c r="U113" s="504">
        <f t="shared" si="93"/>
        <v>0</v>
      </c>
      <c r="V113" s="501">
        <f t="shared" si="107"/>
        <v>0</v>
      </c>
      <c r="W113" s="503">
        <f t="shared" si="107"/>
        <v>0</v>
      </c>
      <c r="X113" s="504">
        <f t="shared" si="94"/>
        <v>0</v>
      </c>
      <c r="Y113" s="501">
        <f t="shared" si="108"/>
        <v>0</v>
      </c>
      <c r="Z113" s="503">
        <f t="shared" si="108"/>
        <v>0</v>
      </c>
      <c r="AA113" s="504">
        <f t="shared" si="95"/>
        <v>0</v>
      </c>
      <c r="AB113" s="501">
        <f t="shared" si="109"/>
        <v>0</v>
      </c>
      <c r="AC113" s="503">
        <f t="shared" si="109"/>
        <v>0</v>
      </c>
      <c r="AD113" s="504">
        <f t="shared" si="96"/>
        <v>0</v>
      </c>
      <c r="AE113" s="501">
        <f t="shared" si="110"/>
        <v>0</v>
      </c>
      <c r="AF113" s="503">
        <f t="shared" si="110"/>
        <v>0</v>
      </c>
      <c r="AG113" s="504">
        <f t="shared" si="97"/>
        <v>0</v>
      </c>
      <c r="AH113" s="501">
        <f t="shared" si="111"/>
        <v>0</v>
      </c>
      <c r="AI113" s="503">
        <f t="shared" si="111"/>
        <v>0</v>
      </c>
      <c r="AJ113" s="504">
        <f t="shared" si="98"/>
        <v>0</v>
      </c>
      <c r="AK113" s="501">
        <f t="shared" si="112"/>
        <v>0</v>
      </c>
      <c r="AL113" s="503">
        <f t="shared" si="112"/>
        <v>0</v>
      </c>
      <c r="AM113" s="504">
        <f t="shared" si="99"/>
        <v>0</v>
      </c>
      <c r="AN113" s="501">
        <f t="shared" si="113"/>
        <v>0</v>
      </c>
      <c r="AO113" s="503">
        <f t="shared" si="113"/>
        <v>0</v>
      </c>
      <c r="AP113" s="504">
        <f t="shared" si="100"/>
        <v>0</v>
      </c>
      <c r="AQ113" s="501">
        <f t="shared" si="114"/>
        <v>0</v>
      </c>
      <c r="AR113" s="503">
        <f t="shared" si="114"/>
        <v>0</v>
      </c>
      <c r="AS113" s="504">
        <f t="shared" si="101"/>
        <v>0</v>
      </c>
    </row>
    <row r="114" spans="1:45" x14ac:dyDescent="0.25">
      <c r="A114" s="808"/>
      <c r="B114" s="810"/>
      <c r="C114" s="467" t="s">
        <v>32</v>
      </c>
      <c r="D114" s="492">
        <f t="shared" si="86"/>
        <v>0</v>
      </c>
      <c r="E114" s="493">
        <f t="shared" si="87"/>
        <v>0</v>
      </c>
      <c r="F114" s="494">
        <f t="shared" si="88"/>
        <v>0</v>
      </c>
      <c r="G114" s="500">
        <f t="shared" si="102"/>
        <v>0</v>
      </c>
      <c r="H114" s="501">
        <f t="shared" si="102"/>
        <v>0</v>
      </c>
      <c r="I114" s="502">
        <f t="shared" si="89"/>
        <v>0</v>
      </c>
      <c r="J114" s="501">
        <f t="shared" si="103"/>
        <v>0</v>
      </c>
      <c r="K114" s="501">
        <f t="shared" si="103"/>
        <v>0</v>
      </c>
      <c r="L114" s="502">
        <f t="shared" si="90"/>
        <v>0</v>
      </c>
      <c r="M114" s="501">
        <f t="shared" si="104"/>
        <v>0</v>
      </c>
      <c r="N114" s="501">
        <f t="shared" si="104"/>
        <v>0</v>
      </c>
      <c r="O114" s="502">
        <f t="shared" si="91"/>
        <v>0</v>
      </c>
      <c r="P114" s="501">
        <f t="shared" si="105"/>
        <v>0</v>
      </c>
      <c r="Q114" s="503">
        <f t="shared" si="105"/>
        <v>0</v>
      </c>
      <c r="R114" s="504">
        <f t="shared" si="92"/>
        <v>0</v>
      </c>
      <c r="S114" s="501">
        <f t="shared" si="106"/>
        <v>0</v>
      </c>
      <c r="T114" s="503">
        <f t="shared" si="106"/>
        <v>0</v>
      </c>
      <c r="U114" s="504">
        <f t="shared" si="93"/>
        <v>0</v>
      </c>
      <c r="V114" s="501">
        <f t="shared" si="107"/>
        <v>0</v>
      </c>
      <c r="W114" s="503">
        <f t="shared" si="107"/>
        <v>0</v>
      </c>
      <c r="X114" s="504">
        <f t="shared" si="94"/>
        <v>0</v>
      </c>
      <c r="Y114" s="501">
        <f t="shared" si="108"/>
        <v>0</v>
      </c>
      <c r="Z114" s="503">
        <f t="shared" si="108"/>
        <v>0</v>
      </c>
      <c r="AA114" s="504">
        <f t="shared" si="95"/>
        <v>0</v>
      </c>
      <c r="AB114" s="501">
        <f t="shared" si="109"/>
        <v>0</v>
      </c>
      <c r="AC114" s="503">
        <f t="shared" si="109"/>
        <v>0</v>
      </c>
      <c r="AD114" s="504">
        <f t="shared" si="96"/>
        <v>0</v>
      </c>
      <c r="AE114" s="501">
        <f t="shared" si="110"/>
        <v>0</v>
      </c>
      <c r="AF114" s="503">
        <f t="shared" si="110"/>
        <v>0</v>
      </c>
      <c r="AG114" s="504">
        <f t="shared" si="97"/>
        <v>0</v>
      </c>
      <c r="AH114" s="501">
        <f t="shared" si="111"/>
        <v>0</v>
      </c>
      <c r="AI114" s="503">
        <f t="shared" si="111"/>
        <v>0</v>
      </c>
      <c r="AJ114" s="504">
        <f t="shared" si="98"/>
        <v>0</v>
      </c>
      <c r="AK114" s="501">
        <f t="shared" si="112"/>
        <v>0</v>
      </c>
      <c r="AL114" s="503">
        <f t="shared" si="112"/>
        <v>0</v>
      </c>
      <c r="AM114" s="504">
        <f t="shared" si="99"/>
        <v>0</v>
      </c>
      <c r="AN114" s="501">
        <f t="shared" si="113"/>
        <v>0</v>
      </c>
      <c r="AO114" s="503">
        <f t="shared" si="113"/>
        <v>0</v>
      </c>
      <c r="AP114" s="504">
        <f t="shared" si="100"/>
        <v>0</v>
      </c>
      <c r="AQ114" s="501">
        <f t="shared" si="114"/>
        <v>0</v>
      </c>
      <c r="AR114" s="503">
        <f t="shared" si="114"/>
        <v>0</v>
      </c>
      <c r="AS114" s="504">
        <f t="shared" si="101"/>
        <v>0</v>
      </c>
    </row>
    <row r="115" spans="1:45" x14ac:dyDescent="0.25">
      <c r="A115" s="808"/>
      <c r="B115" s="810"/>
      <c r="C115" s="467" t="s">
        <v>33</v>
      </c>
      <c r="D115" s="492">
        <f t="shared" si="86"/>
        <v>0</v>
      </c>
      <c r="E115" s="493">
        <f t="shared" si="87"/>
        <v>0</v>
      </c>
      <c r="F115" s="494">
        <f t="shared" si="88"/>
        <v>0</v>
      </c>
      <c r="G115" s="500">
        <f t="shared" si="102"/>
        <v>0</v>
      </c>
      <c r="H115" s="501">
        <f t="shared" si="102"/>
        <v>0</v>
      </c>
      <c r="I115" s="502">
        <f t="shared" si="89"/>
        <v>0</v>
      </c>
      <c r="J115" s="501">
        <f t="shared" si="103"/>
        <v>0</v>
      </c>
      <c r="K115" s="501">
        <f t="shared" si="103"/>
        <v>0</v>
      </c>
      <c r="L115" s="502">
        <f t="shared" si="90"/>
        <v>0</v>
      </c>
      <c r="M115" s="501">
        <f t="shared" si="104"/>
        <v>0</v>
      </c>
      <c r="N115" s="501">
        <f t="shared" si="104"/>
        <v>0</v>
      </c>
      <c r="O115" s="502">
        <f t="shared" si="91"/>
        <v>0</v>
      </c>
      <c r="P115" s="501">
        <f t="shared" si="105"/>
        <v>0</v>
      </c>
      <c r="Q115" s="503">
        <f t="shared" si="105"/>
        <v>0</v>
      </c>
      <c r="R115" s="504">
        <f t="shared" si="92"/>
        <v>0</v>
      </c>
      <c r="S115" s="501">
        <f t="shared" si="106"/>
        <v>0</v>
      </c>
      <c r="T115" s="503">
        <f t="shared" si="106"/>
        <v>0</v>
      </c>
      <c r="U115" s="504">
        <f t="shared" si="93"/>
        <v>0</v>
      </c>
      <c r="V115" s="501">
        <f t="shared" si="107"/>
        <v>0</v>
      </c>
      <c r="W115" s="503">
        <f t="shared" si="107"/>
        <v>0</v>
      </c>
      <c r="X115" s="504">
        <f t="shared" si="94"/>
        <v>0</v>
      </c>
      <c r="Y115" s="501">
        <f t="shared" si="108"/>
        <v>0</v>
      </c>
      <c r="Z115" s="503">
        <f t="shared" si="108"/>
        <v>0</v>
      </c>
      <c r="AA115" s="504">
        <f t="shared" si="95"/>
        <v>0</v>
      </c>
      <c r="AB115" s="501">
        <f t="shared" si="109"/>
        <v>0</v>
      </c>
      <c r="AC115" s="503">
        <f t="shared" si="109"/>
        <v>0</v>
      </c>
      <c r="AD115" s="504">
        <f t="shared" si="96"/>
        <v>0</v>
      </c>
      <c r="AE115" s="501">
        <f t="shared" si="110"/>
        <v>0</v>
      </c>
      <c r="AF115" s="503">
        <f t="shared" si="110"/>
        <v>0</v>
      </c>
      <c r="AG115" s="504">
        <f t="shared" si="97"/>
        <v>0</v>
      </c>
      <c r="AH115" s="501">
        <f t="shared" si="111"/>
        <v>0</v>
      </c>
      <c r="AI115" s="503">
        <f t="shared" si="111"/>
        <v>0</v>
      </c>
      <c r="AJ115" s="504">
        <f t="shared" si="98"/>
        <v>0</v>
      </c>
      <c r="AK115" s="501">
        <f t="shared" si="112"/>
        <v>0</v>
      </c>
      <c r="AL115" s="503">
        <f t="shared" si="112"/>
        <v>0</v>
      </c>
      <c r="AM115" s="504">
        <f t="shared" si="99"/>
        <v>0</v>
      </c>
      <c r="AN115" s="501">
        <f t="shared" si="113"/>
        <v>0</v>
      </c>
      <c r="AO115" s="503">
        <f t="shared" si="113"/>
        <v>0</v>
      </c>
      <c r="AP115" s="504">
        <f t="shared" si="100"/>
        <v>0</v>
      </c>
      <c r="AQ115" s="501">
        <f t="shared" si="114"/>
        <v>0</v>
      </c>
      <c r="AR115" s="503">
        <f t="shared" si="114"/>
        <v>0</v>
      </c>
      <c r="AS115" s="504">
        <f t="shared" si="101"/>
        <v>0</v>
      </c>
    </row>
    <row r="116" spans="1:45" ht="15.75" thickBot="1" x14ac:dyDescent="0.3">
      <c r="A116" s="809"/>
      <c r="B116" s="811"/>
      <c r="C116" s="480" t="s">
        <v>34</v>
      </c>
      <c r="D116" s="505">
        <f t="shared" si="86"/>
        <v>0</v>
      </c>
      <c r="E116" s="506">
        <f t="shared" si="87"/>
        <v>0</v>
      </c>
      <c r="F116" s="507">
        <f t="shared" si="88"/>
        <v>0</v>
      </c>
      <c r="G116" s="508">
        <f t="shared" si="102"/>
        <v>0</v>
      </c>
      <c r="H116" s="509">
        <f t="shared" si="102"/>
        <v>0</v>
      </c>
      <c r="I116" s="510">
        <f t="shared" si="89"/>
        <v>0</v>
      </c>
      <c r="J116" s="509">
        <f t="shared" si="103"/>
        <v>0</v>
      </c>
      <c r="K116" s="509">
        <f t="shared" si="103"/>
        <v>0</v>
      </c>
      <c r="L116" s="510">
        <f t="shared" si="90"/>
        <v>0</v>
      </c>
      <c r="M116" s="509">
        <f t="shared" si="104"/>
        <v>0</v>
      </c>
      <c r="N116" s="509">
        <f t="shared" si="104"/>
        <v>0</v>
      </c>
      <c r="O116" s="510">
        <f t="shared" si="91"/>
        <v>0</v>
      </c>
      <c r="P116" s="509">
        <f t="shared" si="105"/>
        <v>0</v>
      </c>
      <c r="Q116" s="511">
        <f t="shared" si="105"/>
        <v>0</v>
      </c>
      <c r="R116" s="512">
        <f t="shared" si="92"/>
        <v>0</v>
      </c>
      <c r="S116" s="509">
        <f t="shared" si="106"/>
        <v>0</v>
      </c>
      <c r="T116" s="511">
        <f t="shared" si="106"/>
        <v>0</v>
      </c>
      <c r="U116" s="512">
        <f t="shared" si="93"/>
        <v>0</v>
      </c>
      <c r="V116" s="509">
        <f t="shared" si="107"/>
        <v>0</v>
      </c>
      <c r="W116" s="511">
        <f t="shared" si="107"/>
        <v>0</v>
      </c>
      <c r="X116" s="512">
        <f t="shared" si="94"/>
        <v>0</v>
      </c>
      <c r="Y116" s="509">
        <f t="shared" si="108"/>
        <v>0</v>
      </c>
      <c r="Z116" s="511">
        <f t="shared" si="108"/>
        <v>0</v>
      </c>
      <c r="AA116" s="512">
        <f t="shared" si="95"/>
        <v>0</v>
      </c>
      <c r="AB116" s="509">
        <f t="shared" si="109"/>
        <v>0</v>
      </c>
      <c r="AC116" s="511">
        <f t="shared" si="109"/>
        <v>0</v>
      </c>
      <c r="AD116" s="512">
        <f t="shared" si="96"/>
        <v>0</v>
      </c>
      <c r="AE116" s="509">
        <f t="shared" si="110"/>
        <v>0</v>
      </c>
      <c r="AF116" s="511">
        <f t="shared" si="110"/>
        <v>0</v>
      </c>
      <c r="AG116" s="512">
        <f t="shared" si="97"/>
        <v>0</v>
      </c>
      <c r="AH116" s="509">
        <f t="shared" si="111"/>
        <v>0</v>
      </c>
      <c r="AI116" s="511">
        <f t="shared" si="111"/>
        <v>0</v>
      </c>
      <c r="AJ116" s="512">
        <f t="shared" si="98"/>
        <v>0</v>
      </c>
      <c r="AK116" s="509">
        <f t="shared" si="112"/>
        <v>0</v>
      </c>
      <c r="AL116" s="511">
        <f t="shared" si="112"/>
        <v>0</v>
      </c>
      <c r="AM116" s="512">
        <f t="shared" si="99"/>
        <v>0</v>
      </c>
      <c r="AN116" s="509">
        <f t="shared" si="113"/>
        <v>0</v>
      </c>
      <c r="AO116" s="511">
        <f t="shared" si="113"/>
        <v>0</v>
      </c>
      <c r="AP116" s="512">
        <f t="shared" si="100"/>
        <v>0</v>
      </c>
      <c r="AQ116" s="509">
        <f t="shared" si="114"/>
        <v>0</v>
      </c>
      <c r="AR116" s="511">
        <f t="shared" si="114"/>
        <v>0</v>
      </c>
      <c r="AS116" s="512">
        <f t="shared" si="101"/>
        <v>0</v>
      </c>
    </row>
    <row r="117" spans="1:45" x14ac:dyDescent="0.25">
      <c r="A117" s="808" t="s">
        <v>191</v>
      </c>
      <c r="B117" s="810" t="s">
        <v>13</v>
      </c>
      <c r="C117" s="467" t="s">
        <v>25</v>
      </c>
      <c r="D117" s="468">
        <f t="shared" si="86"/>
        <v>0</v>
      </c>
      <c r="E117" s="469">
        <f t="shared" si="87"/>
        <v>0</v>
      </c>
      <c r="F117" s="470">
        <f t="shared" si="88"/>
        <v>0</v>
      </c>
      <c r="G117" s="487">
        <f>G56</f>
        <v>0</v>
      </c>
      <c r="H117" s="488">
        <f>H56</f>
        <v>0</v>
      </c>
      <c r="I117" s="406">
        <f>(H117 - G117)*Faktory!D$7 * 0.5</f>
        <v>0</v>
      </c>
      <c r="J117" s="488">
        <v>0</v>
      </c>
      <c r="K117" s="488">
        <f>(J87+L87/2)*((J56-K56)*(1+$AT$56))*Faktory!$D$10</f>
        <v>0</v>
      </c>
      <c r="L117" s="406">
        <f t="shared" ref="L117:L126" si="115">K117</f>
        <v>0</v>
      </c>
      <c r="M117" s="488">
        <v>0</v>
      </c>
      <c r="N117" s="488">
        <f>(M87+O87/2)*((M56-N56)*(1+$AT$56))*Faktory!$D$10</f>
        <v>0</v>
      </c>
      <c r="O117" s="406">
        <f t="shared" ref="O117:O126" si="116">N117</f>
        <v>0</v>
      </c>
      <c r="P117" s="488">
        <v>0</v>
      </c>
      <c r="Q117" s="489">
        <f>(P87+R87/2)*((P56-Q56)*(1+$AT$56))*Faktory!$D$10</f>
        <v>0</v>
      </c>
      <c r="R117" s="490">
        <f t="shared" ref="R117:R126" si="117">Q117</f>
        <v>0</v>
      </c>
      <c r="S117" s="488">
        <v>0</v>
      </c>
      <c r="T117" s="489">
        <f>(S87+U87/2)*((S56-T56)*(1+$AT$56))*Faktory!$D$10</f>
        <v>0</v>
      </c>
      <c r="U117" s="490">
        <f t="shared" ref="U117:U126" si="118">T117</f>
        <v>0</v>
      </c>
      <c r="V117" s="488">
        <v>0</v>
      </c>
      <c r="W117" s="489">
        <f>(V87+X87/2)*((V56-W56)*(1+$AT$56))*Faktory!$D$10</f>
        <v>0</v>
      </c>
      <c r="X117" s="490">
        <f t="shared" ref="X117:X126" si="119">W117</f>
        <v>0</v>
      </c>
      <c r="Y117" s="488">
        <v>0</v>
      </c>
      <c r="Z117" s="489">
        <f>(Y87+AA87/2)*((Y56-Z56)*(1+$AT$56))*Faktory!$D$10</f>
        <v>0</v>
      </c>
      <c r="AA117" s="490">
        <f t="shared" ref="AA117:AA126" si="120">Z117</f>
        <v>0</v>
      </c>
      <c r="AB117" s="488">
        <v>0</v>
      </c>
      <c r="AC117" s="489">
        <f>(AB87+AD87/2)*((AB56-AC56)*(1+$AT$56))*Faktory!$D$10</f>
        <v>0</v>
      </c>
      <c r="AD117" s="490">
        <f t="shared" ref="AD117:AD126" si="121">AC117</f>
        <v>0</v>
      </c>
      <c r="AE117" s="488">
        <v>0</v>
      </c>
      <c r="AF117" s="489">
        <f>(AE87+AG87/2)*((AE56-AF56)*(1+$AT$56))*Faktory!$D$10</f>
        <v>0</v>
      </c>
      <c r="AG117" s="490">
        <f t="shared" ref="AG117:AG126" si="122">AF117</f>
        <v>0</v>
      </c>
      <c r="AH117" s="488">
        <v>0</v>
      </c>
      <c r="AI117" s="489">
        <f>(AH87+AJ87/2)*((AH56-AI56)*(1+$AT$56))*Faktory!$D$10</f>
        <v>0</v>
      </c>
      <c r="AJ117" s="490">
        <f t="shared" ref="AJ117:AJ126" si="123">AI117</f>
        <v>0</v>
      </c>
      <c r="AK117" s="488">
        <v>0</v>
      </c>
      <c r="AL117" s="489">
        <f>(AK87+AM87/2)*((AK56-AL56)*(1+$AT$56))*Faktory!$D$10</f>
        <v>0</v>
      </c>
      <c r="AM117" s="490">
        <f t="shared" ref="AM117:AM126" si="124">AL117</f>
        <v>0</v>
      </c>
      <c r="AN117" s="488">
        <v>0</v>
      </c>
      <c r="AO117" s="489">
        <f>(AN87+AP87/2)*((AN56-AO56)*(1+$AT$56))*Faktory!$D$10</f>
        <v>0</v>
      </c>
      <c r="AP117" s="490">
        <f t="shared" ref="AP117:AP126" si="125">AO117</f>
        <v>0</v>
      </c>
      <c r="AQ117" s="488">
        <v>0</v>
      </c>
      <c r="AR117" s="489">
        <f>(AQ87+AS87/2)*((AQ56-AR56)*(1+$AT$56))*Faktory!$D$10</f>
        <v>0</v>
      </c>
      <c r="AS117" s="490">
        <f t="shared" ref="AS117:AS126" si="126">AR117</f>
        <v>0</v>
      </c>
    </row>
    <row r="118" spans="1:45" x14ac:dyDescent="0.25">
      <c r="A118" s="808"/>
      <c r="B118" s="810"/>
      <c r="C118" s="467" t="s">
        <v>26</v>
      </c>
      <c r="D118" s="468">
        <f t="shared" si="86"/>
        <v>0</v>
      </c>
      <c r="E118" s="469">
        <f t="shared" si="87"/>
        <v>0</v>
      </c>
      <c r="F118" s="470">
        <f t="shared" si="88"/>
        <v>0</v>
      </c>
      <c r="G118" s="477">
        <f>G57</f>
        <v>0</v>
      </c>
      <c r="H118" s="478">
        <f>H57</f>
        <v>0</v>
      </c>
      <c r="I118" s="417">
        <f>(H118 - G118)*Faktory!D$7 * 0.5</f>
        <v>0</v>
      </c>
      <c r="J118" s="478">
        <v>0</v>
      </c>
      <c r="K118" s="478">
        <f>(J88+L88/2)*((J57-K57)*(1+$AT$56))*Faktory!$D$10</f>
        <v>0</v>
      </c>
      <c r="L118" s="417">
        <f t="shared" si="115"/>
        <v>0</v>
      </c>
      <c r="M118" s="478">
        <v>0</v>
      </c>
      <c r="N118" s="478">
        <f>(M88+O88/2)*((M57-N57)*(1+$AT$56))*Faktory!$D$10</f>
        <v>0</v>
      </c>
      <c r="O118" s="417">
        <f t="shared" si="116"/>
        <v>0</v>
      </c>
      <c r="P118" s="478">
        <v>0</v>
      </c>
      <c r="Q118" s="479">
        <f>(P88+R88/2)*((P57-Q57)*(1+$AT$56))*Faktory!$D$10</f>
        <v>0</v>
      </c>
      <c r="R118" s="419">
        <f t="shared" si="117"/>
        <v>0</v>
      </c>
      <c r="S118" s="478">
        <v>0</v>
      </c>
      <c r="T118" s="479">
        <f>(S88+U88/2)*((S57-T57)*(1+$AT$56))*Faktory!$D$10</f>
        <v>0</v>
      </c>
      <c r="U118" s="419">
        <f t="shared" si="118"/>
        <v>0</v>
      </c>
      <c r="V118" s="478">
        <v>0</v>
      </c>
      <c r="W118" s="479">
        <f>(V88+X88/2)*((V57-W57)*(1+$AT$56))*Faktory!$D$10</f>
        <v>0</v>
      </c>
      <c r="X118" s="419">
        <f t="shared" si="119"/>
        <v>0</v>
      </c>
      <c r="Y118" s="478">
        <v>0</v>
      </c>
      <c r="Z118" s="479">
        <f>(Y88+AA88/2)*((Y57-Z57)*(1+$AT$56))*Faktory!$D$10</f>
        <v>0</v>
      </c>
      <c r="AA118" s="419">
        <f t="shared" si="120"/>
        <v>0</v>
      </c>
      <c r="AB118" s="478">
        <v>0</v>
      </c>
      <c r="AC118" s="479">
        <f>(AB88+AD88/2)*((AB57-AC57)*(1+$AT$56))*Faktory!$D$10</f>
        <v>0</v>
      </c>
      <c r="AD118" s="419">
        <f t="shared" si="121"/>
        <v>0</v>
      </c>
      <c r="AE118" s="478">
        <v>0</v>
      </c>
      <c r="AF118" s="479">
        <f>(AE88+AG88/2)*((AE57-AF57)*(1+$AT$56))*Faktory!$D$10</f>
        <v>0</v>
      </c>
      <c r="AG118" s="419">
        <f t="shared" si="122"/>
        <v>0</v>
      </c>
      <c r="AH118" s="478">
        <v>0</v>
      </c>
      <c r="AI118" s="479">
        <f>(AH88+AJ88/2)*((AH57-AI57)*(1+$AT$56))*Faktory!$D$10</f>
        <v>0</v>
      </c>
      <c r="AJ118" s="419">
        <f t="shared" si="123"/>
        <v>0</v>
      </c>
      <c r="AK118" s="478">
        <v>0</v>
      </c>
      <c r="AL118" s="479">
        <f>(AK88+AM88/2)*((AK57-AL57)*(1+$AT$56))*Faktory!$D$10</f>
        <v>0</v>
      </c>
      <c r="AM118" s="419">
        <f t="shared" si="124"/>
        <v>0</v>
      </c>
      <c r="AN118" s="478">
        <v>0</v>
      </c>
      <c r="AO118" s="479">
        <f>(AN88+AP88/2)*((AN57-AO57)*(1+$AT$56))*Faktory!$D$10</f>
        <v>0</v>
      </c>
      <c r="AP118" s="419">
        <f t="shared" si="125"/>
        <v>0</v>
      </c>
      <c r="AQ118" s="478">
        <v>0</v>
      </c>
      <c r="AR118" s="479">
        <f>(AQ88+AS88/2)*((AQ57-AR57)*(1+$AT$56))*Faktory!$D$10</f>
        <v>0</v>
      </c>
      <c r="AS118" s="419">
        <f t="shared" si="126"/>
        <v>0</v>
      </c>
    </row>
    <row r="119" spans="1:45" x14ac:dyDescent="0.25">
      <c r="A119" s="808"/>
      <c r="B119" s="810"/>
      <c r="C119" s="467" t="s">
        <v>27</v>
      </c>
      <c r="D119" s="468">
        <f t="shared" si="86"/>
        <v>136555.1080459776</v>
      </c>
      <c r="E119" s="469">
        <f t="shared" si="87"/>
        <v>127451.43417624576</v>
      </c>
      <c r="F119" s="470">
        <f t="shared" si="88"/>
        <v>-9103.673869731836</v>
      </c>
      <c r="G119" s="477">
        <f>G58*Faktory!D$8 * 0.5</f>
        <v>136555.1080459776</v>
      </c>
      <c r="H119" s="478">
        <f>H58*Faktory!D$8 * 0.5</f>
        <v>127451.43417624576</v>
      </c>
      <c r="I119" s="417">
        <f>(H119 - G119)</f>
        <v>-9103.673869731836</v>
      </c>
      <c r="J119" s="478">
        <v>0</v>
      </c>
      <c r="K119" s="478">
        <f>(J89+L89/2)*((J58-K58)*(1+$AT$56))*Faktory!$D$10</f>
        <v>0</v>
      </c>
      <c r="L119" s="417">
        <f t="shared" si="115"/>
        <v>0</v>
      </c>
      <c r="M119" s="478">
        <v>0</v>
      </c>
      <c r="N119" s="478">
        <f>(M89+O89/2)*((M58-N58)*(1+$AT$56))*Faktory!$D$10</f>
        <v>0</v>
      </c>
      <c r="O119" s="417">
        <f t="shared" si="116"/>
        <v>0</v>
      </c>
      <c r="P119" s="478">
        <v>0</v>
      </c>
      <c r="Q119" s="479">
        <f>(P89+R89/2)*((P58-Q58)*(1+$AT$56))*Faktory!$D$10</f>
        <v>0</v>
      </c>
      <c r="R119" s="419">
        <f t="shared" si="117"/>
        <v>0</v>
      </c>
      <c r="S119" s="478">
        <v>0</v>
      </c>
      <c r="T119" s="479">
        <f>(S89+U89/2)*((S58-T58)*(1+$AT$56))*Faktory!$D$10</f>
        <v>0</v>
      </c>
      <c r="U119" s="419">
        <f t="shared" si="118"/>
        <v>0</v>
      </c>
      <c r="V119" s="478">
        <v>0</v>
      </c>
      <c r="W119" s="479">
        <f>(V89+X89/2)*((V58-W58)*(1+$AT$56))*Faktory!$D$10</f>
        <v>0</v>
      </c>
      <c r="X119" s="419">
        <f t="shared" si="119"/>
        <v>0</v>
      </c>
      <c r="Y119" s="478">
        <v>0</v>
      </c>
      <c r="Z119" s="479">
        <f>(Y89+AA89/2)*((Y58-Z58)*(1+$AT$56))*Faktory!$D$10</f>
        <v>0</v>
      </c>
      <c r="AA119" s="419">
        <f t="shared" si="120"/>
        <v>0</v>
      </c>
      <c r="AB119" s="478">
        <v>0</v>
      </c>
      <c r="AC119" s="479">
        <f>(AB89+AD89/2)*((AB58-AC58)*(1+$AT$56))*Faktory!$D$10</f>
        <v>0</v>
      </c>
      <c r="AD119" s="419">
        <f t="shared" si="121"/>
        <v>0</v>
      </c>
      <c r="AE119" s="478">
        <v>0</v>
      </c>
      <c r="AF119" s="479">
        <f>(AE89+AG89/2)*((AE58-AF58)*(1+$AT$56))*Faktory!$D$10</f>
        <v>0</v>
      </c>
      <c r="AG119" s="419">
        <f t="shared" si="122"/>
        <v>0</v>
      </c>
      <c r="AH119" s="478">
        <v>0</v>
      </c>
      <c r="AI119" s="479">
        <f>(AH89+AJ89/2)*((AH58-AI58)*(1+$AT$56))*Faktory!$D$10</f>
        <v>0</v>
      </c>
      <c r="AJ119" s="419">
        <f t="shared" si="123"/>
        <v>0</v>
      </c>
      <c r="AK119" s="478">
        <v>0</v>
      </c>
      <c r="AL119" s="479">
        <f>(AK89+AM89/2)*((AK58-AL58)*(1+$AT$56))*Faktory!$D$10</f>
        <v>0</v>
      </c>
      <c r="AM119" s="419">
        <f t="shared" si="124"/>
        <v>0</v>
      </c>
      <c r="AN119" s="478">
        <v>0</v>
      </c>
      <c r="AO119" s="479">
        <f>(AN89+AP89/2)*((AN58-AO58)*(1+$AT$56))*Faktory!$D$10</f>
        <v>0</v>
      </c>
      <c r="AP119" s="419">
        <f t="shared" si="125"/>
        <v>0</v>
      </c>
      <c r="AQ119" s="478">
        <v>0</v>
      </c>
      <c r="AR119" s="479">
        <f>(AQ89+AS89/2)*((AQ58-AR58)*(1+$AT$56))*Faktory!$D$10</f>
        <v>0</v>
      </c>
      <c r="AS119" s="419">
        <f t="shared" si="126"/>
        <v>0</v>
      </c>
    </row>
    <row r="120" spans="1:45" x14ac:dyDescent="0.25">
      <c r="A120" s="808"/>
      <c r="B120" s="810"/>
      <c r="C120" s="467" t="s">
        <v>28</v>
      </c>
      <c r="D120" s="468">
        <f t="shared" si="86"/>
        <v>273110.2160919552</v>
      </c>
      <c r="E120" s="469">
        <f t="shared" si="87"/>
        <v>254902.86835249153</v>
      </c>
      <c r="F120" s="470">
        <f t="shared" si="88"/>
        <v>-18207.347739463672</v>
      </c>
      <c r="G120" s="477">
        <f>G59*Faktory!D$8 * 0.5</f>
        <v>273110.2160919552</v>
      </c>
      <c r="H120" s="478">
        <f>H59*Faktory!D$8 * 0.5</f>
        <v>254902.86835249153</v>
      </c>
      <c r="I120" s="417">
        <f>(H120 - G120)</f>
        <v>-18207.347739463672</v>
      </c>
      <c r="J120" s="478">
        <v>0</v>
      </c>
      <c r="K120" s="478">
        <f>(J90+L90/2)*((J59-K59)*(1+$AT$56))*Faktory!$D$10</f>
        <v>0</v>
      </c>
      <c r="L120" s="417">
        <f t="shared" si="115"/>
        <v>0</v>
      </c>
      <c r="M120" s="478">
        <v>0</v>
      </c>
      <c r="N120" s="478">
        <f>(M90+O90/2)*((M59-N59)*(1+$AT$56))*Faktory!$D$10</f>
        <v>0</v>
      </c>
      <c r="O120" s="417">
        <f t="shared" si="116"/>
        <v>0</v>
      </c>
      <c r="P120" s="478">
        <v>0</v>
      </c>
      <c r="Q120" s="479">
        <f>(P90+R90/2)*((P59-Q59)*(1+$AT$56))*Faktory!$D$10</f>
        <v>0</v>
      </c>
      <c r="R120" s="419">
        <f t="shared" si="117"/>
        <v>0</v>
      </c>
      <c r="S120" s="478">
        <v>0</v>
      </c>
      <c r="T120" s="479">
        <f>(S90+U90/2)*((S59-T59)*(1+$AT$56))*Faktory!$D$10</f>
        <v>0</v>
      </c>
      <c r="U120" s="419">
        <f t="shared" si="118"/>
        <v>0</v>
      </c>
      <c r="V120" s="478">
        <v>0</v>
      </c>
      <c r="W120" s="479">
        <f>(V90+X90/2)*((V59-W59)*(1+$AT$56))*Faktory!$D$10</f>
        <v>0</v>
      </c>
      <c r="X120" s="419">
        <f t="shared" si="119"/>
        <v>0</v>
      </c>
      <c r="Y120" s="478">
        <v>0</v>
      </c>
      <c r="Z120" s="479">
        <f>(Y90+AA90/2)*((Y59-Z59)*(1+$AT$56))*Faktory!$D$10</f>
        <v>0</v>
      </c>
      <c r="AA120" s="419">
        <f t="shared" si="120"/>
        <v>0</v>
      </c>
      <c r="AB120" s="478">
        <v>0</v>
      </c>
      <c r="AC120" s="479">
        <f>(AB90+AD90/2)*((AB59-AC59)*(1+$AT$56))*Faktory!$D$10</f>
        <v>0</v>
      </c>
      <c r="AD120" s="419">
        <f t="shared" si="121"/>
        <v>0</v>
      </c>
      <c r="AE120" s="478">
        <v>0</v>
      </c>
      <c r="AF120" s="479">
        <f>(AE90+AG90/2)*((AE59-AF59)*(1+$AT$56))*Faktory!$D$10</f>
        <v>0</v>
      </c>
      <c r="AG120" s="419">
        <f t="shared" si="122"/>
        <v>0</v>
      </c>
      <c r="AH120" s="478">
        <v>0</v>
      </c>
      <c r="AI120" s="479">
        <f>(AH90+AJ90/2)*((AH59-AI59)*(1+$AT$56))*Faktory!$D$10</f>
        <v>0</v>
      </c>
      <c r="AJ120" s="419">
        <f t="shared" si="123"/>
        <v>0</v>
      </c>
      <c r="AK120" s="478">
        <v>0</v>
      </c>
      <c r="AL120" s="479">
        <f>(AK90+AM90/2)*((AK59-AL59)*(1+$AT$56))*Faktory!$D$10</f>
        <v>0</v>
      </c>
      <c r="AM120" s="419">
        <f t="shared" si="124"/>
        <v>0</v>
      </c>
      <c r="AN120" s="478">
        <v>0</v>
      </c>
      <c r="AO120" s="479">
        <f>(AN90+AP90/2)*((AN59-AO59)*(1+$AT$56))*Faktory!$D$10</f>
        <v>0</v>
      </c>
      <c r="AP120" s="419">
        <f t="shared" si="125"/>
        <v>0</v>
      </c>
      <c r="AQ120" s="478">
        <v>0</v>
      </c>
      <c r="AR120" s="479">
        <f>(AQ90+AS90/2)*((AQ59-AR59)*(1+$AT$56))*Faktory!$D$10</f>
        <v>0</v>
      </c>
      <c r="AS120" s="419">
        <f t="shared" si="126"/>
        <v>0</v>
      </c>
    </row>
    <row r="121" spans="1:45" x14ac:dyDescent="0.25">
      <c r="A121" s="808"/>
      <c r="B121" s="810"/>
      <c r="C121" s="467" t="s">
        <v>29</v>
      </c>
      <c r="D121" s="468">
        <f t="shared" si="86"/>
        <v>273110.2160919552</v>
      </c>
      <c r="E121" s="469">
        <f t="shared" si="87"/>
        <v>254902.86835249153</v>
      </c>
      <c r="F121" s="470">
        <f t="shared" si="88"/>
        <v>-18207.347739463672</v>
      </c>
      <c r="G121" s="477">
        <f>G60*Faktory!D$8 * 0.5</f>
        <v>273110.2160919552</v>
      </c>
      <c r="H121" s="478">
        <f>H60*Faktory!D$8 * 0.5</f>
        <v>254902.86835249153</v>
      </c>
      <c r="I121" s="417">
        <f t="shared" ref="I121:I126" si="127">(H121 - G121)</f>
        <v>-18207.347739463672</v>
      </c>
      <c r="J121" s="478">
        <v>0</v>
      </c>
      <c r="K121" s="478">
        <f>(J91+L91/2)*((J60-K60)*(1+$AT$56))*Faktory!$D$10</f>
        <v>0</v>
      </c>
      <c r="L121" s="417">
        <f t="shared" si="115"/>
        <v>0</v>
      </c>
      <c r="M121" s="478">
        <v>0</v>
      </c>
      <c r="N121" s="478">
        <f>(M91+O91/2)*((M60-N60)*(1+$AT$56))*Faktory!$D$10</f>
        <v>0</v>
      </c>
      <c r="O121" s="417">
        <f t="shared" si="116"/>
        <v>0</v>
      </c>
      <c r="P121" s="478">
        <v>0</v>
      </c>
      <c r="Q121" s="479">
        <f>(P91+R91/2)*((P60-Q60)*(1+$AT$56))*Faktory!$D$10</f>
        <v>0</v>
      </c>
      <c r="R121" s="419">
        <f t="shared" si="117"/>
        <v>0</v>
      </c>
      <c r="S121" s="478">
        <v>0</v>
      </c>
      <c r="T121" s="479">
        <f>(S91+U91/2)*((S60-T60)*(1+$AT$56))*Faktory!$D$10</f>
        <v>0</v>
      </c>
      <c r="U121" s="419">
        <f t="shared" si="118"/>
        <v>0</v>
      </c>
      <c r="V121" s="478">
        <v>0</v>
      </c>
      <c r="W121" s="479">
        <f>(V91+X91/2)*((V60-W60)*(1+$AT$56))*Faktory!$D$10</f>
        <v>0</v>
      </c>
      <c r="X121" s="419">
        <f t="shared" si="119"/>
        <v>0</v>
      </c>
      <c r="Y121" s="478">
        <v>0</v>
      </c>
      <c r="Z121" s="479">
        <f>(Y91+AA91/2)*((Y60-Z60)*(1+$AT$56))*Faktory!$D$10</f>
        <v>0</v>
      </c>
      <c r="AA121" s="419">
        <f t="shared" si="120"/>
        <v>0</v>
      </c>
      <c r="AB121" s="478">
        <v>0</v>
      </c>
      <c r="AC121" s="479">
        <f>(AB91+AD91/2)*((AB60-AC60)*(1+$AT$56))*Faktory!$D$10</f>
        <v>0</v>
      </c>
      <c r="AD121" s="419">
        <f t="shared" si="121"/>
        <v>0</v>
      </c>
      <c r="AE121" s="478">
        <v>0</v>
      </c>
      <c r="AF121" s="479">
        <f>(AE91+AG91/2)*((AE60-AF60)*(1+$AT$56))*Faktory!$D$10</f>
        <v>0</v>
      </c>
      <c r="AG121" s="419">
        <f t="shared" si="122"/>
        <v>0</v>
      </c>
      <c r="AH121" s="478">
        <v>0</v>
      </c>
      <c r="AI121" s="479">
        <f>(AH91+AJ91/2)*((AH60-AI60)*(1+$AT$56))*Faktory!$D$10</f>
        <v>0</v>
      </c>
      <c r="AJ121" s="419">
        <f t="shared" si="123"/>
        <v>0</v>
      </c>
      <c r="AK121" s="478">
        <v>0</v>
      </c>
      <c r="AL121" s="479">
        <f>(AK91+AM91/2)*((AK60-AL60)*(1+$AT$56))*Faktory!$D$10</f>
        <v>0</v>
      </c>
      <c r="AM121" s="419">
        <f t="shared" si="124"/>
        <v>0</v>
      </c>
      <c r="AN121" s="478">
        <v>0</v>
      </c>
      <c r="AO121" s="479">
        <f>(AN91+AP91/2)*((AN60-AO60)*(1+$AT$56))*Faktory!$D$10</f>
        <v>0</v>
      </c>
      <c r="AP121" s="419">
        <f t="shared" si="125"/>
        <v>0</v>
      </c>
      <c r="AQ121" s="478">
        <v>0</v>
      </c>
      <c r="AR121" s="479">
        <f>(AQ91+AS91/2)*((AQ60-AR60)*(1+$AT$56))*Faktory!$D$10</f>
        <v>0</v>
      </c>
      <c r="AS121" s="419">
        <f t="shared" si="126"/>
        <v>0</v>
      </c>
    </row>
    <row r="122" spans="1:45" x14ac:dyDescent="0.25">
      <c r="A122" s="808"/>
      <c r="B122" s="810"/>
      <c r="C122" s="467" t="s">
        <v>30</v>
      </c>
      <c r="D122" s="468">
        <f t="shared" si="86"/>
        <v>273110.2160919552</v>
      </c>
      <c r="E122" s="469">
        <f t="shared" si="87"/>
        <v>254902.86835249153</v>
      </c>
      <c r="F122" s="470">
        <f t="shared" si="88"/>
        <v>-18207.347739463672</v>
      </c>
      <c r="G122" s="477">
        <f>G61*Faktory!D$8 * 0.5</f>
        <v>273110.2160919552</v>
      </c>
      <c r="H122" s="478">
        <f>H61*Faktory!D$8 * 0.5</f>
        <v>254902.86835249153</v>
      </c>
      <c r="I122" s="417">
        <f t="shared" si="127"/>
        <v>-18207.347739463672</v>
      </c>
      <c r="J122" s="478">
        <v>0</v>
      </c>
      <c r="K122" s="478">
        <f>(J92+L92/2)*((J61-K61)*(1+$AT$56))*Faktory!$D$10</f>
        <v>0</v>
      </c>
      <c r="L122" s="417">
        <f t="shared" si="115"/>
        <v>0</v>
      </c>
      <c r="M122" s="478">
        <v>0</v>
      </c>
      <c r="N122" s="478">
        <f>(M92+O92/2)*((M61-N61)*(1+$AT$56))*Faktory!$D$10</f>
        <v>0</v>
      </c>
      <c r="O122" s="417">
        <f t="shared" si="116"/>
        <v>0</v>
      </c>
      <c r="P122" s="478">
        <v>0</v>
      </c>
      <c r="Q122" s="479">
        <f>(P92+R92/2)*((P61-Q61)*(1+$AT$56))*Faktory!$D$10</f>
        <v>0</v>
      </c>
      <c r="R122" s="419">
        <f t="shared" si="117"/>
        <v>0</v>
      </c>
      <c r="S122" s="478">
        <v>0</v>
      </c>
      <c r="T122" s="479">
        <f>(S92+U92/2)*((S61-T61)*(1+$AT$56))*Faktory!$D$10</f>
        <v>0</v>
      </c>
      <c r="U122" s="419">
        <f t="shared" si="118"/>
        <v>0</v>
      </c>
      <c r="V122" s="478">
        <v>0</v>
      </c>
      <c r="W122" s="479">
        <f>(V92+X92/2)*((V61-W61)*(1+$AT$56))*Faktory!$D$10</f>
        <v>0</v>
      </c>
      <c r="X122" s="419">
        <f t="shared" si="119"/>
        <v>0</v>
      </c>
      <c r="Y122" s="478">
        <v>0</v>
      </c>
      <c r="Z122" s="479">
        <f>(Y92+AA92/2)*((Y61-Z61)*(1+$AT$56))*Faktory!$D$10</f>
        <v>0</v>
      </c>
      <c r="AA122" s="419">
        <f t="shared" si="120"/>
        <v>0</v>
      </c>
      <c r="AB122" s="478">
        <v>0</v>
      </c>
      <c r="AC122" s="479">
        <f>(AB92+AD92/2)*((AB61-AC61)*(1+$AT$56))*Faktory!$D$10</f>
        <v>0</v>
      </c>
      <c r="AD122" s="419">
        <f t="shared" si="121"/>
        <v>0</v>
      </c>
      <c r="AE122" s="478">
        <v>0</v>
      </c>
      <c r="AF122" s="479">
        <f>(AE92+AG92/2)*((AE61-AF61)*(1+$AT$56))*Faktory!$D$10</f>
        <v>0</v>
      </c>
      <c r="AG122" s="419">
        <f t="shared" si="122"/>
        <v>0</v>
      </c>
      <c r="AH122" s="478">
        <v>0</v>
      </c>
      <c r="AI122" s="479">
        <f>(AH92+AJ92/2)*((AH61-AI61)*(1+$AT$56))*Faktory!$D$10</f>
        <v>0</v>
      </c>
      <c r="AJ122" s="419">
        <f t="shared" si="123"/>
        <v>0</v>
      </c>
      <c r="AK122" s="478">
        <v>0</v>
      </c>
      <c r="AL122" s="479">
        <f>(AK92+AM92/2)*((AK61-AL61)*(1+$AT$56))*Faktory!$D$10</f>
        <v>0</v>
      </c>
      <c r="AM122" s="419">
        <f t="shared" si="124"/>
        <v>0</v>
      </c>
      <c r="AN122" s="478">
        <v>0</v>
      </c>
      <c r="AO122" s="479">
        <f>(AN92+AP92/2)*((AN61-AO61)*(1+$AT$56))*Faktory!$D$10</f>
        <v>0</v>
      </c>
      <c r="AP122" s="419">
        <f t="shared" si="125"/>
        <v>0</v>
      </c>
      <c r="AQ122" s="478">
        <v>0</v>
      </c>
      <c r="AR122" s="479">
        <f>(AQ92+AS92/2)*((AQ61-AR61)*(1+$AT$56))*Faktory!$D$10</f>
        <v>0</v>
      </c>
      <c r="AS122" s="419">
        <f t="shared" si="126"/>
        <v>0</v>
      </c>
    </row>
    <row r="123" spans="1:45" x14ac:dyDescent="0.25">
      <c r="A123" s="808"/>
      <c r="B123" s="810"/>
      <c r="C123" s="467" t="s">
        <v>31</v>
      </c>
      <c r="D123" s="468">
        <f t="shared" si="86"/>
        <v>273110.2160919552</v>
      </c>
      <c r="E123" s="469">
        <f t="shared" si="87"/>
        <v>254902.86835249153</v>
      </c>
      <c r="F123" s="470">
        <f t="shared" si="88"/>
        <v>-18207.347739463672</v>
      </c>
      <c r="G123" s="477">
        <f>G62*Faktory!D$8 * 0.5</f>
        <v>273110.2160919552</v>
      </c>
      <c r="H123" s="478">
        <f>H62*Faktory!D$8 * 0.5</f>
        <v>254902.86835249153</v>
      </c>
      <c r="I123" s="417">
        <f t="shared" si="127"/>
        <v>-18207.347739463672</v>
      </c>
      <c r="J123" s="478">
        <v>0</v>
      </c>
      <c r="K123" s="478">
        <f>(J93+L93/2)*((J62-K62)*(1+$AT$56))*Faktory!$D$10</f>
        <v>0</v>
      </c>
      <c r="L123" s="417">
        <f t="shared" si="115"/>
        <v>0</v>
      </c>
      <c r="M123" s="478">
        <v>0</v>
      </c>
      <c r="N123" s="478">
        <f>(M93+O93/2)*((M62-N62)*(1+$AT$56))*Faktory!$D$10</f>
        <v>0</v>
      </c>
      <c r="O123" s="417">
        <f t="shared" si="116"/>
        <v>0</v>
      </c>
      <c r="P123" s="478">
        <v>0</v>
      </c>
      <c r="Q123" s="479">
        <f>(P93+R93/2)*((P62-Q62)*(1+$AT$56))*Faktory!$D$10</f>
        <v>0</v>
      </c>
      <c r="R123" s="419">
        <f t="shared" si="117"/>
        <v>0</v>
      </c>
      <c r="S123" s="478">
        <v>0</v>
      </c>
      <c r="T123" s="479">
        <f>(S93+U93/2)*((S62-T62)*(1+$AT$56))*Faktory!$D$10</f>
        <v>0</v>
      </c>
      <c r="U123" s="419">
        <f t="shared" si="118"/>
        <v>0</v>
      </c>
      <c r="V123" s="478">
        <v>0</v>
      </c>
      <c r="W123" s="479">
        <f>(V93+X93/2)*((V62-W62)*(1+$AT$56))*Faktory!$D$10</f>
        <v>0</v>
      </c>
      <c r="X123" s="419">
        <f t="shared" si="119"/>
        <v>0</v>
      </c>
      <c r="Y123" s="478">
        <v>0</v>
      </c>
      <c r="Z123" s="479">
        <f>(Y93+AA93/2)*((Y62-Z62)*(1+$AT$56))*Faktory!$D$10</f>
        <v>0</v>
      </c>
      <c r="AA123" s="419">
        <f t="shared" si="120"/>
        <v>0</v>
      </c>
      <c r="AB123" s="478">
        <v>0</v>
      </c>
      <c r="AC123" s="479">
        <f>(AB93+AD93/2)*((AB62-AC62)*(1+$AT$56))*Faktory!$D$10</f>
        <v>0</v>
      </c>
      <c r="AD123" s="419">
        <f t="shared" si="121"/>
        <v>0</v>
      </c>
      <c r="AE123" s="478">
        <v>0</v>
      </c>
      <c r="AF123" s="479">
        <f>(AE93+AG93/2)*((AE62-AF62)*(1+$AT$56))*Faktory!$D$10</f>
        <v>0</v>
      </c>
      <c r="AG123" s="419">
        <f t="shared" si="122"/>
        <v>0</v>
      </c>
      <c r="AH123" s="478">
        <v>0</v>
      </c>
      <c r="AI123" s="479">
        <f>(AH93+AJ93/2)*((AH62-AI62)*(1+$AT$56))*Faktory!$D$10</f>
        <v>0</v>
      </c>
      <c r="AJ123" s="419">
        <f t="shared" si="123"/>
        <v>0</v>
      </c>
      <c r="AK123" s="478">
        <v>0</v>
      </c>
      <c r="AL123" s="479">
        <f>(AK93+AM93/2)*((AK62-AL62)*(1+$AT$56))*Faktory!$D$10</f>
        <v>0</v>
      </c>
      <c r="AM123" s="419">
        <f t="shared" si="124"/>
        <v>0</v>
      </c>
      <c r="AN123" s="478">
        <v>0</v>
      </c>
      <c r="AO123" s="479">
        <f>(AN93+AP93/2)*((AN62-AO62)*(1+$AT$56))*Faktory!$D$10</f>
        <v>0</v>
      </c>
      <c r="AP123" s="419">
        <f t="shared" si="125"/>
        <v>0</v>
      </c>
      <c r="AQ123" s="478">
        <v>0</v>
      </c>
      <c r="AR123" s="479">
        <f>(AQ93+AS93/2)*((AQ62-AR62)*(1+$AT$56))*Faktory!$D$10</f>
        <v>0</v>
      </c>
      <c r="AS123" s="419">
        <f t="shared" si="126"/>
        <v>0</v>
      </c>
    </row>
    <row r="124" spans="1:45" x14ac:dyDescent="0.25">
      <c r="A124" s="808"/>
      <c r="B124" s="810"/>
      <c r="C124" s="467" t="s">
        <v>32</v>
      </c>
      <c r="D124" s="468">
        <f t="shared" si="86"/>
        <v>273110.2160919552</v>
      </c>
      <c r="E124" s="469">
        <f t="shared" si="87"/>
        <v>254902.86835249153</v>
      </c>
      <c r="F124" s="470">
        <f t="shared" si="88"/>
        <v>-18207.347739463672</v>
      </c>
      <c r="G124" s="477">
        <f>G63*Faktory!D$8 * 0.5</f>
        <v>273110.2160919552</v>
      </c>
      <c r="H124" s="478">
        <f>H63*Faktory!D$8 * 0.5</f>
        <v>254902.86835249153</v>
      </c>
      <c r="I124" s="417">
        <f t="shared" si="127"/>
        <v>-18207.347739463672</v>
      </c>
      <c r="J124" s="478">
        <v>0</v>
      </c>
      <c r="K124" s="478">
        <f>(J94+L94/2)*((J63-K63)*(1+$AT$56))*Faktory!$D$10</f>
        <v>0</v>
      </c>
      <c r="L124" s="417">
        <f t="shared" si="115"/>
        <v>0</v>
      </c>
      <c r="M124" s="478">
        <v>0</v>
      </c>
      <c r="N124" s="478">
        <f>(M94+O94/2)*((M63-N63)*(1+$AT$56))*Faktory!$D$10</f>
        <v>0</v>
      </c>
      <c r="O124" s="417">
        <f t="shared" si="116"/>
        <v>0</v>
      </c>
      <c r="P124" s="478">
        <v>0</v>
      </c>
      <c r="Q124" s="479">
        <f>(P94+R94/2)*((P63-Q63)*(1+$AT$56))*Faktory!$D$10</f>
        <v>0</v>
      </c>
      <c r="R124" s="419">
        <f t="shared" si="117"/>
        <v>0</v>
      </c>
      <c r="S124" s="478">
        <v>0</v>
      </c>
      <c r="T124" s="479">
        <f>(S94+U94/2)*((S63-T63)*(1+$AT$56))*Faktory!$D$10</f>
        <v>0</v>
      </c>
      <c r="U124" s="419">
        <f t="shared" si="118"/>
        <v>0</v>
      </c>
      <c r="V124" s="478">
        <v>0</v>
      </c>
      <c r="W124" s="479">
        <f>(V94+X94/2)*((V63-W63)*(1+$AT$56))*Faktory!$D$10</f>
        <v>0</v>
      </c>
      <c r="X124" s="419">
        <f t="shared" si="119"/>
        <v>0</v>
      </c>
      <c r="Y124" s="478">
        <v>0</v>
      </c>
      <c r="Z124" s="479">
        <f>(Y94+AA94/2)*((Y63-Z63)*(1+$AT$56))*Faktory!$D$10</f>
        <v>0</v>
      </c>
      <c r="AA124" s="419">
        <f t="shared" si="120"/>
        <v>0</v>
      </c>
      <c r="AB124" s="478">
        <v>0</v>
      </c>
      <c r="AC124" s="479">
        <f>(AB94+AD94/2)*((AB63-AC63)*(1+$AT$56))*Faktory!$D$10</f>
        <v>0</v>
      </c>
      <c r="AD124" s="419">
        <f t="shared" si="121"/>
        <v>0</v>
      </c>
      <c r="AE124" s="478">
        <v>0</v>
      </c>
      <c r="AF124" s="479">
        <f>(AE94+AG94/2)*((AE63-AF63)*(1+$AT$56))*Faktory!$D$10</f>
        <v>0</v>
      </c>
      <c r="AG124" s="419">
        <f t="shared" si="122"/>
        <v>0</v>
      </c>
      <c r="AH124" s="478">
        <v>0</v>
      </c>
      <c r="AI124" s="479">
        <f>(AH94+AJ94/2)*((AH63-AI63)*(1+$AT$56))*Faktory!$D$10</f>
        <v>0</v>
      </c>
      <c r="AJ124" s="419">
        <f t="shared" si="123"/>
        <v>0</v>
      </c>
      <c r="AK124" s="478">
        <v>0</v>
      </c>
      <c r="AL124" s="479">
        <f>(AK94+AM94/2)*((AK63-AL63)*(1+$AT$56))*Faktory!$D$10</f>
        <v>0</v>
      </c>
      <c r="AM124" s="419">
        <f t="shared" si="124"/>
        <v>0</v>
      </c>
      <c r="AN124" s="478">
        <v>0</v>
      </c>
      <c r="AO124" s="479">
        <f>(AN94+AP94/2)*((AN63-AO63)*(1+$AT$56))*Faktory!$D$10</f>
        <v>0</v>
      </c>
      <c r="AP124" s="419">
        <f t="shared" si="125"/>
        <v>0</v>
      </c>
      <c r="AQ124" s="478">
        <v>0</v>
      </c>
      <c r="AR124" s="479">
        <f>(AQ94+AS94/2)*((AQ63-AR63)*(1+$AT$56))*Faktory!$D$10</f>
        <v>0</v>
      </c>
      <c r="AS124" s="419">
        <f t="shared" si="126"/>
        <v>0</v>
      </c>
    </row>
    <row r="125" spans="1:45" x14ac:dyDescent="0.25">
      <c r="A125" s="808"/>
      <c r="B125" s="810"/>
      <c r="C125" s="467" t="s">
        <v>33</v>
      </c>
      <c r="D125" s="468">
        <f t="shared" si="86"/>
        <v>273110.2160919552</v>
      </c>
      <c r="E125" s="469">
        <f t="shared" si="87"/>
        <v>254902.86835249153</v>
      </c>
      <c r="F125" s="470">
        <f t="shared" si="88"/>
        <v>-18207.347739463672</v>
      </c>
      <c r="G125" s="477">
        <f>G64*Faktory!D$8 * 0.5</f>
        <v>273110.2160919552</v>
      </c>
      <c r="H125" s="478">
        <f>H64*Faktory!D$8 * 0.5</f>
        <v>254902.86835249153</v>
      </c>
      <c r="I125" s="417">
        <f t="shared" si="127"/>
        <v>-18207.347739463672</v>
      </c>
      <c r="J125" s="478">
        <v>0</v>
      </c>
      <c r="K125" s="478">
        <f>(J95+L95/2)*((J64-K64)*(1+$AT$56))*Faktory!$D$10</f>
        <v>0</v>
      </c>
      <c r="L125" s="417">
        <f t="shared" si="115"/>
        <v>0</v>
      </c>
      <c r="M125" s="478">
        <v>0</v>
      </c>
      <c r="N125" s="478">
        <f>(M95+O95/2)*((M64-N64)*(1+$AT$56))*Faktory!$D$10</f>
        <v>0</v>
      </c>
      <c r="O125" s="417">
        <f t="shared" si="116"/>
        <v>0</v>
      </c>
      <c r="P125" s="478">
        <v>0</v>
      </c>
      <c r="Q125" s="479">
        <f>(P95+R95/2)*((P64-Q64)*(1+$AT$56))*Faktory!$D$10</f>
        <v>0</v>
      </c>
      <c r="R125" s="419">
        <f t="shared" si="117"/>
        <v>0</v>
      </c>
      <c r="S125" s="478">
        <v>0</v>
      </c>
      <c r="T125" s="479">
        <f>(S95+U95/2)*((S64-T64)*(1+$AT$56))*Faktory!$D$10</f>
        <v>0</v>
      </c>
      <c r="U125" s="419">
        <f t="shared" si="118"/>
        <v>0</v>
      </c>
      <c r="V125" s="478">
        <v>0</v>
      </c>
      <c r="W125" s="479">
        <f>(V95+X95/2)*((V64-W64)*(1+$AT$56))*Faktory!$D$10</f>
        <v>0</v>
      </c>
      <c r="X125" s="419">
        <f t="shared" si="119"/>
        <v>0</v>
      </c>
      <c r="Y125" s="478">
        <v>0</v>
      </c>
      <c r="Z125" s="479">
        <f>(Y95+AA95/2)*((Y64-Z64)*(1+$AT$56))*Faktory!$D$10</f>
        <v>0</v>
      </c>
      <c r="AA125" s="419">
        <f t="shared" si="120"/>
        <v>0</v>
      </c>
      <c r="AB125" s="478">
        <v>0</v>
      </c>
      <c r="AC125" s="479">
        <f>(AB95+AD95/2)*((AB64-AC64)*(1+$AT$56))*Faktory!$D$10</f>
        <v>0</v>
      </c>
      <c r="AD125" s="419">
        <f t="shared" si="121"/>
        <v>0</v>
      </c>
      <c r="AE125" s="478">
        <v>0</v>
      </c>
      <c r="AF125" s="479">
        <f>(AE95+AG95/2)*((AE64-AF64)*(1+$AT$56))*Faktory!$D$10</f>
        <v>0</v>
      </c>
      <c r="AG125" s="419">
        <f t="shared" si="122"/>
        <v>0</v>
      </c>
      <c r="AH125" s="478">
        <v>0</v>
      </c>
      <c r="AI125" s="479">
        <f>(AH95+AJ95/2)*((AH64-AI64)*(1+$AT$56))*Faktory!$D$10</f>
        <v>0</v>
      </c>
      <c r="AJ125" s="419">
        <f t="shared" si="123"/>
        <v>0</v>
      </c>
      <c r="AK125" s="478">
        <v>0</v>
      </c>
      <c r="AL125" s="479">
        <f>(AK95+AM95/2)*((AK64-AL64)*(1+$AT$56))*Faktory!$D$10</f>
        <v>0</v>
      </c>
      <c r="AM125" s="419">
        <f t="shared" si="124"/>
        <v>0</v>
      </c>
      <c r="AN125" s="478">
        <v>0</v>
      </c>
      <c r="AO125" s="479">
        <f>(AN95+AP95/2)*((AN64-AO64)*(1+$AT$56))*Faktory!$D$10</f>
        <v>0</v>
      </c>
      <c r="AP125" s="419">
        <f t="shared" si="125"/>
        <v>0</v>
      </c>
      <c r="AQ125" s="478">
        <v>0</v>
      </c>
      <c r="AR125" s="479">
        <f>(AQ95+AS95/2)*((AQ64-AR64)*(1+$AT$56))*Faktory!$D$10</f>
        <v>0</v>
      </c>
      <c r="AS125" s="419">
        <f t="shared" si="126"/>
        <v>0</v>
      </c>
    </row>
    <row r="126" spans="1:45" ht="15.75" thickBot="1" x14ac:dyDescent="0.3">
      <c r="A126" s="809"/>
      <c r="B126" s="811"/>
      <c r="C126" s="480" t="s">
        <v>34</v>
      </c>
      <c r="D126" s="481">
        <f t="shared" si="86"/>
        <v>273110.2160919552</v>
      </c>
      <c r="E126" s="482">
        <f t="shared" si="87"/>
        <v>254902.86835249153</v>
      </c>
      <c r="F126" s="483">
        <f t="shared" si="88"/>
        <v>-18207.347739463672</v>
      </c>
      <c r="G126" s="477">
        <f>G65*Faktory!D$8 * 0.5</f>
        <v>273110.2160919552</v>
      </c>
      <c r="H126" s="478">
        <f>H65*Faktory!D$8 * 0.5</f>
        <v>254902.86835249153</v>
      </c>
      <c r="I126" s="426">
        <f t="shared" si="127"/>
        <v>-18207.347739463672</v>
      </c>
      <c r="J126" s="485">
        <v>0</v>
      </c>
      <c r="K126" s="485">
        <f>(J96+L96/2)*((J65-K65)*(1+$AT$56))*Faktory!$D$10</f>
        <v>0</v>
      </c>
      <c r="L126" s="426">
        <f t="shared" si="115"/>
        <v>0</v>
      </c>
      <c r="M126" s="485">
        <v>0</v>
      </c>
      <c r="N126" s="485">
        <f>(M96+O96/2)*((M65-N65)*(1+$AT$56))*Faktory!$D$10</f>
        <v>0</v>
      </c>
      <c r="O126" s="426">
        <f t="shared" si="116"/>
        <v>0</v>
      </c>
      <c r="P126" s="485">
        <v>0</v>
      </c>
      <c r="Q126" s="486">
        <f>(P96+R96/2)*((P65-Q65)*(1+$AT$56))*Faktory!$D$10</f>
        <v>0</v>
      </c>
      <c r="R126" s="428">
        <f t="shared" si="117"/>
        <v>0</v>
      </c>
      <c r="S126" s="485">
        <v>0</v>
      </c>
      <c r="T126" s="486">
        <f>(S96+U96/2)*((S65-T65)*(1+$AT$56))*Faktory!$D$10</f>
        <v>0</v>
      </c>
      <c r="U126" s="428">
        <f t="shared" si="118"/>
        <v>0</v>
      </c>
      <c r="V126" s="485">
        <v>0</v>
      </c>
      <c r="W126" s="486">
        <f>(V96+X96/2)*((V65-W65)*(1+$AT$56))*Faktory!$D$10</f>
        <v>0</v>
      </c>
      <c r="X126" s="428">
        <f t="shared" si="119"/>
        <v>0</v>
      </c>
      <c r="Y126" s="485">
        <v>0</v>
      </c>
      <c r="Z126" s="486">
        <f>(Y96+AA96/2)*((Y65-Z65)*(1+$AT$56))*Faktory!$D$10</f>
        <v>0</v>
      </c>
      <c r="AA126" s="428">
        <f t="shared" si="120"/>
        <v>0</v>
      </c>
      <c r="AB126" s="485">
        <v>0</v>
      </c>
      <c r="AC126" s="486">
        <f>(AB96+AD96/2)*((AB65-AC65)*(1+$AT$56))*Faktory!$D$10</f>
        <v>0</v>
      </c>
      <c r="AD126" s="428">
        <f t="shared" si="121"/>
        <v>0</v>
      </c>
      <c r="AE126" s="485">
        <v>0</v>
      </c>
      <c r="AF126" s="486">
        <f>(AE96+AG96/2)*((AE65-AF65)*(1+$AT$56))*Faktory!$D$10</f>
        <v>0</v>
      </c>
      <c r="AG126" s="428">
        <f t="shared" si="122"/>
        <v>0</v>
      </c>
      <c r="AH126" s="485">
        <v>0</v>
      </c>
      <c r="AI126" s="486">
        <f>(AH96+AJ96/2)*((AH65-AI65)*(1+$AT$56))*Faktory!$D$10</f>
        <v>0</v>
      </c>
      <c r="AJ126" s="428">
        <f t="shared" si="123"/>
        <v>0</v>
      </c>
      <c r="AK126" s="485">
        <v>0</v>
      </c>
      <c r="AL126" s="486">
        <f>(AK96+AM96/2)*((AK65-AL65)*(1+$AT$56))*Faktory!$D$10</f>
        <v>0</v>
      </c>
      <c r="AM126" s="428">
        <f t="shared" si="124"/>
        <v>0</v>
      </c>
      <c r="AN126" s="485">
        <v>0</v>
      </c>
      <c r="AO126" s="486">
        <f>(AN96+AP96/2)*((AN65-AO65)*(1+$AT$56))*Faktory!$D$10</f>
        <v>0</v>
      </c>
      <c r="AP126" s="428">
        <f t="shared" si="125"/>
        <v>0</v>
      </c>
      <c r="AQ126" s="485">
        <v>0</v>
      </c>
      <c r="AR126" s="486">
        <f>(AQ96+AS96/2)*((AQ65-AR65)*(1+$AT$56))*Faktory!$D$10</f>
        <v>0</v>
      </c>
      <c r="AS126" s="428">
        <f t="shared" si="126"/>
        <v>0</v>
      </c>
    </row>
    <row r="127" spans="1:45" x14ac:dyDescent="0.25">
      <c r="A127" s="808" t="s">
        <v>192</v>
      </c>
      <c r="B127" s="810" t="s">
        <v>13</v>
      </c>
      <c r="C127" s="467" t="s">
        <v>25</v>
      </c>
      <c r="D127" s="468">
        <f t="shared" ref="D127:D156" si="128">G127+J127+M127+AQ127</f>
        <v>0</v>
      </c>
      <c r="E127" s="469">
        <f t="shared" ref="E127:E156" si="129">H127+K127+N127+AR127</f>
        <v>0</v>
      </c>
      <c r="F127" s="470">
        <f t="shared" ref="F127:F136" si="130">E127-D127</f>
        <v>0</v>
      </c>
      <c r="G127" s="487">
        <f>G16*G26</f>
        <v>0</v>
      </c>
      <c r="H127" s="488">
        <f>H16*H26</f>
        <v>0</v>
      </c>
      <c r="I127" s="406">
        <f t="shared" ref="I127:I156" si="131">H127-G127</f>
        <v>0</v>
      </c>
      <c r="J127" s="488">
        <f t="shared" ref="J127:K136" si="132">J16*J26</f>
        <v>0</v>
      </c>
      <c r="K127" s="488">
        <f t="shared" si="132"/>
        <v>0</v>
      </c>
      <c r="L127" s="406">
        <f t="shared" ref="L127:L156" si="133">K127-J127</f>
        <v>0</v>
      </c>
      <c r="M127" s="488">
        <f t="shared" ref="M127:N136" si="134">M16*M26</f>
        <v>0</v>
      </c>
      <c r="N127" s="488">
        <f t="shared" si="134"/>
        <v>0</v>
      </c>
      <c r="O127" s="406">
        <f t="shared" ref="O127:O156" si="135">N127-M127</f>
        <v>0</v>
      </c>
      <c r="P127" s="488">
        <f t="shared" ref="P127:Q136" si="136">P16*P26</f>
        <v>0</v>
      </c>
      <c r="Q127" s="489">
        <f t="shared" si="136"/>
        <v>0</v>
      </c>
      <c r="R127" s="490">
        <f t="shared" ref="R127:R156" si="137">Q127-P127</f>
        <v>0</v>
      </c>
      <c r="S127" s="488">
        <f t="shared" ref="S127:T136" si="138">S16*S26</f>
        <v>0</v>
      </c>
      <c r="T127" s="489">
        <f t="shared" si="138"/>
        <v>0</v>
      </c>
      <c r="U127" s="490">
        <f t="shared" ref="U127:U156" si="139">T127-S127</f>
        <v>0</v>
      </c>
      <c r="V127" s="488">
        <f t="shared" ref="V127:W136" si="140">V16*V26</f>
        <v>0</v>
      </c>
      <c r="W127" s="489">
        <f t="shared" si="140"/>
        <v>0</v>
      </c>
      <c r="X127" s="490">
        <f t="shared" ref="X127:X156" si="141">W127-V127</f>
        <v>0</v>
      </c>
      <c r="Y127" s="488">
        <f t="shared" ref="Y127:Z136" si="142">Y16*Y26</f>
        <v>0</v>
      </c>
      <c r="Z127" s="489">
        <f t="shared" si="142"/>
        <v>0</v>
      </c>
      <c r="AA127" s="490">
        <f t="shared" ref="AA127:AA156" si="143">Z127-Y127</f>
        <v>0</v>
      </c>
      <c r="AB127" s="488">
        <f t="shared" ref="AB127:AC136" si="144">AB16*AB26</f>
        <v>0</v>
      </c>
      <c r="AC127" s="489">
        <f t="shared" si="144"/>
        <v>0</v>
      </c>
      <c r="AD127" s="490">
        <f t="shared" ref="AD127:AD156" si="145">AC127-AB127</f>
        <v>0</v>
      </c>
      <c r="AE127" s="488">
        <f t="shared" ref="AE127:AF136" si="146">AE16*AE26</f>
        <v>0</v>
      </c>
      <c r="AF127" s="489">
        <f t="shared" si="146"/>
        <v>0</v>
      </c>
      <c r="AG127" s="490">
        <f t="shared" ref="AG127:AG156" si="147">AF127-AE127</f>
        <v>0</v>
      </c>
      <c r="AH127" s="488">
        <f t="shared" ref="AH127:AI136" si="148">AH16*AH26</f>
        <v>0</v>
      </c>
      <c r="AI127" s="489">
        <f t="shared" si="148"/>
        <v>0</v>
      </c>
      <c r="AJ127" s="490">
        <f t="shared" ref="AJ127:AJ156" si="149">AI127-AH127</f>
        <v>0</v>
      </c>
      <c r="AK127" s="488">
        <f t="shared" ref="AK127:AL136" si="150">AK16*AK26</f>
        <v>0</v>
      </c>
      <c r="AL127" s="489">
        <f t="shared" si="150"/>
        <v>0</v>
      </c>
      <c r="AM127" s="490">
        <f t="shared" ref="AM127:AM156" si="151">AL127-AK127</f>
        <v>0</v>
      </c>
      <c r="AN127" s="488">
        <f t="shared" ref="AN127:AO136" si="152">AN16*AN26</f>
        <v>0</v>
      </c>
      <c r="AO127" s="489">
        <f t="shared" si="152"/>
        <v>0</v>
      </c>
      <c r="AP127" s="490">
        <f t="shared" ref="AP127:AP156" si="153">AO127-AN127</f>
        <v>0</v>
      </c>
      <c r="AQ127" s="488">
        <f t="shared" ref="AQ127:AR136" si="154">AQ16*AQ26</f>
        <v>0</v>
      </c>
      <c r="AR127" s="489">
        <f t="shared" si="154"/>
        <v>0</v>
      </c>
      <c r="AS127" s="490">
        <f t="shared" ref="AS127:AS156" si="155">AR127-AQ127</f>
        <v>0</v>
      </c>
    </row>
    <row r="128" spans="1:45" x14ac:dyDescent="0.25">
      <c r="A128" s="808"/>
      <c r="B128" s="810"/>
      <c r="C128" s="467" t="s">
        <v>26</v>
      </c>
      <c r="D128" s="468">
        <f t="shared" si="128"/>
        <v>0</v>
      </c>
      <c r="E128" s="469">
        <f t="shared" si="129"/>
        <v>0</v>
      </c>
      <c r="F128" s="470">
        <f t="shared" si="130"/>
        <v>0</v>
      </c>
      <c r="G128" s="477"/>
      <c r="H128" s="478"/>
      <c r="I128" s="417">
        <f t="shared" si="131"/>
        <v>0</v>
      </c>
      <c r="J128" s="478">
        <f t="shared" si="132"/>
        <v>0</v>
      </c>
      <c r="K128" s="478">
        <f t="shared" si="132"/>
        <v>0</v>
      </c>
      <c r="L128" s="417">
        <f t="shared" si="133"/>
        <v>0</v>
      </c>
      <c r="M128" s="478">
        <f t="shared" si="134"/>
        <v>0</v>
      </c>
      <c r="N128" s="478">
        <f t="shared" si="134"/>
        <v>0</v>
      </c>
      <c r="O128" s="417">
        <f t="shared" si="135"/>
        <v>0</v>
      </c>
      <c r="P128" s="478">
        <f t="shared" si="136"/>
        <v>0</v>
      </c>
      <c r="Q128" s="479">
        <f t="shared" si="136"/>
        <v>0</v>
      </c>
      <c r="R128" s="419">
        <f t="shared" si="137"/>
        <v>0</v>
      </c>
      <c r="S128" s="478">
        <f t="shared" si="138"/>
        <v>0</v>
      </c>
      <c r="T128" s="479">
        <f t="shared" si="138"/>
        <v>0</v>
      </c>
      <c r="U128" s="419">
        <f t="shared" si="139"/>
        <v>0</v>
      </c>
      <c r="V128" s="478">
        <f t="shared" si="140"/>
        <v>0</v>
      </c>
      <c r="W128" s="479">
        <f t="shared" si="140"/>
        <v>0</v>
      </c>
      <c r="X128" s="419">
        <f t="shared" si="141"/>
        <v>0</v>
      </c>
      <c r="Y128" s="478">
        <f t="shared" si="142"/>
        <v>0</v>
      </c>
      <c r="Z128" s="479">
        <f t="shared" si="142"/>
        <v>0</v>
      </c>
      <c r="AA128" s="419">
        <f t="shared" si="143"/>
        <v>0</v>
      </c>
      <c r="AB128" s="478">
        <f t="shared" si="144"/>
        <v>0</v>
      </c>
      <c r="AC128" s="479">
        <f t="shared" si="144"/>
        <v>0</v>
      </c>
      <c r="AD128" s="419">
        <f t="shared" si="145"/>
        <v>0</v>
      </c>
      <c r="AE128" s="478">
        <f t="shared" si="146"/>
        <v>0</v>
      </c>
      <c r="AF128" s="479">
        <f t="shared" si="146"/>
        <v>0</v>
      </c>
      <c r="AG128" s="419">
        <f t="shared" si="147"/>
        <v>0</v>
      </c>
      <c r="AH128" s="478">
        <f t="shared" si="148"/>
        <v>0</v>
      </c>
      <c r="AI128" s="479">
        <f t="shared" si="148"/>
        <v>0</v>
      </c>
      <c r="AJ128" s="419">
        <f t="shared" si="149"/>
        <v>0</v>
      </c>
      <c r="AK128" s="478">
        <f t="shared" si="150"/>
        <v>0</v>
      </c>
      <c r="AL128" s="479">
        <f t="shared" si="150"/>
        <v>0</v>
      </c>
      <c r="AM128" s="419">
        <f t="shared" si="151"/>
        <v>0</v>
      </c>
      <c r="AN128" s="478">
        <f t="shared" si="152"/>
        <v>0</v>
      </c>
      <c r="AO128" s="479">
        <f t="shared" si="152"/>
        <v>0</v>
      </c>
      <c r="AP128" s="419">
        <f t="shared" si="153"/>
        <v>0</v>
      </c>
      <c r="AQ128" s="478">
        <f t="shared" si="154"/>
        <v>0</v>
      </c>
      <c r="AR128" s="479">
        <f t="shared" si="154"/>
        <v>0</v>
      </c>
      <c r="AS128" s="419">
        <f t="shared" si="155"/>
        <v>0</v>
      </c>
    </row>
    <row r="129" spans="1:45" x14ac:dyDescent="0.25">
      <c r="A129" s="808"/>
      <c r="B129" s="810"/>
      <c r="C129" s="467" t="s">
        <v>27</v>
      </c>
      <c r="D129" s="468">
        <f t="shared" si="128"/>
        <v>0</v>
      </c>
      <c r="E129" s="469">
        <f t="shared" si="129"/>
        <v>0</v>
      </c>
      <c r="F129" s="470">
        <f t="shared" si="130"/>
        <v>0</v>
      </c>
      <c r="G129" s="477"/>
      <c r="H129" s="478"/>
      <c r="I129" s="417">
        <f t="shared" si="131"/>
        <v>0</v>
      </c>
      <c r="J129" s="478">
        <f t="shared" si="132"/>
        <v>0</v>
      </c>
      <c r="K129" s="478">
        <f t="shared" si="132"/>
        <v>0</v>
      </c>
      <c r="L129" s="417">
        <f t="shared" si="133"/>
        <v>0</v>
      </c>
      <c r="M129" s="478">
        <f t="shared" si="134"/>
        <v>0</v>
      </c>
      <c r="N129" s="478">
        <f t="shared" si="134"/>
        <v>0</v>
      </c>
      <c r="O129" s="417">
        <f t="shared" si="135"/>
        <v>0</v>
      </c>
      <c r="P129" s="478">
        <f t="shared" si="136"/>
        <v>0</v>
      </c>
      <c r="Q129" s="479">
        <f t="shared" si="136"/>
        <v>0</v>
      </c>
      <c r="R129" s="419">
        <f t="shared" si="137"/>
        <v>0</v>
      </c>
      <c r="S129" s="478">
        <f t="shared" si="138"/>
        <v>0</v>
      </c>
      <c r="T129" s="479">
        <f t="shared" si="138"/>
        <v>0</v>
      </c>
      <c r="U129" s="419">
        <f t="shared" si="139"/>
        <v>0</v>
      </c>
      <c r="V129" s="478">
        <f t="shared" si="140"/>
        <v>0</v>
      </c>
      <c r="W129" s="479">
        <f t="shared" si="140"/>
        <v>0</v>
      </c>
      <c r="X129" s="419">
        <f t="shared" si="141"/>
        <v>0</v>
      </c>
      <c r="Y129" s="478">
        <f t="shared" si="142"/>
        <v>0</v>
      </c>
      <c r="Z129" s="479">
        <f t="shared" si="142"/>
        <v>0</v>
      </c>
      <c r="AA129" s="419">
        <f t="shared" si="143"/>
        <v>0</v>
      </c>
      <c r="AB129" s="478">
        <f t="shared" si="144"/>
        <v>0</v>
      </c>
      <c r="AC129" s="479">
        <f t="shared" si="144"/>
        <v>0</v>
      </c>
      <c r="AD129" s="419">
        <f t="shared" si="145"/>
        <v>0</v>
      </c>
      <c r="AE129" s="478">
        <f t="shared" si="146"/>
        <v>0</v>
      </c>
      <c r="AF129" s="479">
        <f t="shared" si="146"/>
        <v>0</v>
      </c>
      <c r="AG129" s="419">
        <f t="shared" si="147"/>
        <v>0</v>
      </c>
      <c r="AH129" s="478">
        <f t="shared" si="148"/>
        <v>0</v>
      </c>
      <c r="AI129" s="479">
        <f t="shared" si="148"/>
        <v>0</v>
      </c>
      <c r="AJ129" s="419">
        <f t="shared" si="149"/>
        <v>0</v>
      </c>
      <c r="AK129" s="478">
        <f t="shared" si="150"/>
        <v>0</v>
      </c>
      <c r="AL129" s="479">
        <f t="shared" si="150"/>
        <v>0</v>
      </c>
      <c r="AM129" s="419">
        <f t="shared" si="151"/>
        <v>0</v>
      </c>
      <c r="AN129" s="478">
        <f t="shared" si="152"/>
        <v>0</v>
      </c>
      <c r="AO129" s="479">
        <f t="shared" si="152"/>
        <v>0</v>
      </c>
      <c r="AP129" s="419">
        <f t="shared" si="153"/>
        <v>0</v>
      </c>
      <c r="AQ129" s="478">
        <f t="shared" si="154"/>
        <v>0</v>
      </c>
      <c r="AR129" s="479">
        <f t="shared" si="154"/>
        <v>0</v>
      </c>
      <c r="AS129" s="419">
        <f t="shared" si="155"/>
        <v>0</v>
      </c>
    </row>
    <row r="130" spans="1:45" x14ac:dyDescent="0.25">
      <c r="A130" s="808"/>
      <c r="B130" s="810"/>
      <c r="C130" s="467" t="s">
        <v>28</v>
      </c>
      <c r="D130" s="468">
        <f t="shared" si="128"/>
        <v>0</v>
      </c>
      <c r="E130" s="469">
        <f t="shared" si="129"/>
        <v>0</v>
      </c>
      <c r="F130" s="470">
        <f t="shared" si="130"/>
        <v>0</v>
      </c>
      <c r="G130" s="477">
        <v>0</v>
      </c>
      <c r="H130" s="478">
        <v>0</v>
      </c>
      <c r="I130" s="417">
        <f t="shared" si="131"/>
        <v>0</v>
      </c>
      <c r="J130" s="478">
        <f t="shared" si="132"/>
        <v>0</v>
      </c>
      <c r="K130" s="478">
        <f t="shared" si="132"/>
        <v>0</v>
      </c>
      <c r="L130" s="417">
        <f t="shared" si="133"/>
        <v>0</v>
      </c>
      <c r="M130" s="478">
        <f t="shared" si="134"/>
        <v>0</v>
      </c>
      <c r="N130" s="478">
        <f t="shared" si="134"/>
        <v>0</v>
      </c>
      <c r="O130" s="417">
        <f t="shared" si="135"/>
        <v>0</v>
      </c>
      <c r="P130" s="478">
        <f t="shared" si="136"/>
        <v>0</v>
      </c>
      <c r="Q130" s="479">
        <f t="shared" si="136"/>
        <v>0</v>
      </c>
      <c r="R130" s="419">
        <f t="shared" si="137"/>
        <v>0</v>
      </c>
      <c r="S130" s="478">
        <f t="shared" si="138"/>
        <v>0</v>
      </c>
      <c r="T130" s="479">
        <f t="shared" si="138"/>
        <v>0</v>
      </c>
      <c r="U130" s="419">
        <f t="shared" si="139"/>
        <v>0</v>
      </c>
      <c r="V130" s="478">
        <f t="shared" si="140"/>
        <v>0</v>
      </c>
      <c r="W130" s="479">
        <f t="shared" si="140"/>
        <v>0</v>
      </c>
      <c r="X130" s="419">
        <f t="shared" si="141"/>
        <v>0</v>
      </c>
      <c r="Y130" s="478">
        <f t="shared" si="142"/>
        <v>0</v>
      </c>
      <c r="Z130" s="479">
        <f t="shared" si="142"/>
        <v>0</v>
      </c>
      <c r="AA130" s="419">
        <f t="shared" si="143"/>
        <v>0</v>
      </c>
      <c r="AB130" s="478">
        <f t="shared" si="144"/>
        <v>0</v>
      </c>
      <c r="AC130" s="479">
        <f t="shared" si="144"/>
        <v>0</v>
      </c>
      <c r="AD130" s="419">
        <f t="shared" si="145"/>
        <v>0</v>
      </c>
      <c r="AE130" s="478">
        <f t="shared" si="146"/>
        <v>0</v>
      </c>
      <c r="AF130" s="479">
        <f t="shared" si="146"/>
        <v>0</v>
      </c>
      <c r="AG130" s="419">
        <f t="shared" si="147"/>
        <v>0</v>
      </c>
      <c r="AH130" s="478">
        <f t="shared" si="148"/>
        <v>0</v>
      </c>
      <c r="AI130" s="479">
        <f t="shared" si="148"/>
        <v>0</v>
      </c>
      <c r="AJ130" s="419">
        <f t="shared" si="149"/>
        <v>0</v>
      </c>
      <c r="AK130" s="478">
        <f t="shared" si="150"/>
        <v>0</v>
      </c>
      <c r="AL130" s="479">
        <f t="shared" si="150"/>
        <v>0</v>
      </c>
      <c r="AM130" s="419">
        <f t="shared" si="151"/>
        <v>0</v>
      </c>
      <c r="AN130" s="478">
        <f t="shared" si="152"/>
        <v>0</v>
      </c>
      <c r="AO130" s="479">
        <f t="shared" si="152"/>
        <v>0</v>
      </c>
      <c r="AP130" s="419">
        <f t="shared" si="153"/>
        <v>0</v>
      </c>
      <c r="AQ130" s="478">
        <f t="shared" si="154"/>
        <v>0</v>
      </c>
      <c r="AR130" s="479">
        <f t="shared" si="154"/>
        <v>0</v>
      </c>
      <c r="AS130" s="419">
        <f t="shared" si="155"/>
        <v>0</v>
      </c>
    </row>
    <row r="131" spans="1:45" x14ac:dyDescent="0.25">
      <c r="A131" s="808"/>
      <c r="B131" s="810"/>
      <c r="C131" s="467" t="s">
        <v>29</v>
      </c>
      <c r="D131" s="468">
        <f t="shared" si="128"/>
        <v>0</v>
      </c>
      <c r="E131" s="469">
        <f t="shared" si="129"/>
        <v>0</v>
      </c>
      <c r="F131" s="470">
        <f t="shared" si="130"/>
        <v>0</v>
      </c>
      <c r="G131" s="477">
        <v>0</v>
      </c>
      <c r="H131" s="478">
        <v>0</v>
      </c>
      <c r="I131" s="417">
        <f t="shared" si="131"/>
        <v>0</v>
      </c>
      <c r="J131" s="478">
        <f t="shared" si="132"/>
        <v>0</v>
      </c>
      <c r="K131" s="478">
        <f t="shared" si="132"/>
        <v>0</v>
      </c>
      <c r="L131" s="417">
        <f t="shared" si="133"/>
        <v>0</v>
      </c>
      <c r="M131" s="478">
        <f t="shared" si="134"/>
        <v>0</v>
      </c>
      <c r="N131" s="478">
        <f t="shared" si="134"/>
        <v>0</v>
      </c>
      <c r="O131" s="417">
        <f t="shared" si="135"/>
        <v>0</v>
      </c>
      <c r="P131" s="478">
        <f t="shared" si="136"/>
        <v>0</v>
      </c>
      <c r="Q131" s="479">
        <f t="shared" si="136"/>
        <v>0</v>
      </c>
      <c r="R131" s="419">
        <f t="shared" si="137"/>
        <v>0</v>
      </c>
      <c r="S131" s="478">
        <f t="shared" si="138"/>
        <v>0</v>
      </c>
      <c r="T131" s="479">
        <f t="shared" si="138"/>
        <v>0</v>
      </c>
      <c r="U131" s="419">
        <f t="shared" si="139"/>
        <v>0</v>
      </c>
      <c r="V131" s="478">
        <f t="shared" si="140"/>
        <v>0</v>
      </c>
      <c r="W131" s="479">
        <f t="shared" si="140"/>
        <v>0</v>
      </c>
      <c r="X131" s="419">
        <f t="shared" si="141"/>
        <v>0</v>
      </c>
      <c r="Y131" s="478">
        <f t="shared" si="142"/>
        <v>0</v>
      </c>
      <c r="Z131" s="479">
        <f t="shared" si="142"/>
        <v>0</v>
      </c>
      <c r="AA131" s="419">
        <f t="shared" si="143"/>
        <v>0</v>
      </c>
      <c r="AB131" s="478">
        <f t="shared" si="144"/>
        <v>0</v>
      </c>
      <c r="AC131" s="479">
        <f t="shared" si="144"/>
        <v>0</v>
      </c>
      <c r="AD131" s="419">
        <f t="shared" si="145"/>
        <v>0</v>
      </c>
      <c r="AE131" s="478">
        <f t="shared" si="146"/>
        <v>0</v>
      </c>
      <c r="AF131" s="479">
        <f t="shared" si="146"/>
        <v>0</v>
      </c>
      <c r="AG131" s="419">
        <f t="shared" si="147"/>
        <v>0</v>
      </c>
      <c r="AH131" s="478">
        <f t="shared" si="148"/>
        <v>0</v>
      </c>
      <c r="AI131" s="479">
        <f t="shared" si="148"/>
        <v>0</v>
      </c>
      <c r="AJ131" s="419">
        <f t="shared" si="149"/>
        <v>0</v>
      </c>
      <c r="AK131" s="478">
        <f t="shared" si="150"/>
        <v>0</v>
      </c>
      <c r="AL131" s="479">
        <f t="shared" si="150"/>
        <v>0</v>
      </c>
      <c r="AM131" s="419">
        <f t="shared" si="151"/>
        <v>0</v>
      </c>
      <c r="AN131" s="478">
        <f t="shared" si="152"/>
        <v>0</v>
      </c>
      <c r="AO131" s="479">
        <f t="shared" si="152"/>
        <v>0</v>
      </c>
      <c r="AP131" s="419">
        <f t="shared" si="153"/>
        <v>0</v>
      </c>
      <c r="AQ131" s="478">
        <f t="shared" si="154"/>
        <v>0</v>
      </c>
      <c r="AR131" s="479">
        <f t="shared" si="154"/>
        <v>0</v>
      </c>
      <c r="AS131" s="419">
        <f t="shared" si="155"/>
        <v>0</v>
      </c>
    </row>
    <row r="132" spans="1:45" x14ac:dyDescent="0.25">
      <c r="A132" s="808"/>
      <c r="B132" s="810"/>
      <c r="C132" s="467" t="s">
        <v>30</v>
      </c>
      <c r="D132" s="468">
        <f t="shared" si="128"/>
        <v>0</v>
      </c>
      <c r="E132" s="469">
        <f t="shared" si="129"/>
        <v>0</v>
      </c>
      <c r="F132" s="470">
        <f t="shared" si="130"/>
        <v>0</v>
      </c>
      <c r="G132" s="477">
        <v>0</v>
      </c>
      <c r="H132" s="478">
        <v>0</v>
      </c>
      <c r="I132" s="417">
        <f t="shared" si="131"/>
        <v>0</v>
      </c>
      <c r="J132" s="478">
        <f t="shared" si="132"/>
        <v>0</v>
      </c>
      <c r="K132" s="478">
        <f t="shared" si="132"/>
        <v>0</v>
      </c>
      <c r="L132" s="417">
        <f t="shared" si="133"/>
        <v>0</v>
      </c>
      <c r="M132" s="478">
        <f t="shared" si="134"/>
        <v>0</v>
      </c>
      <c r="N132" s="478">
        <f t="shared" si="134"/>
        <v>0</v>
      </c>
      <c r="O132" s="417">
        <f t="shared" si="135"/>
        <v>0</v>
      </c>
      <c r="P132" s="478">
        <f t="shared" si="136"/>
        <v>0</v>
      </c>
      <c r="Q132" s="479">
        <f t="shared" si="136"/>
        <v>0</v>
      </c>
      <c r="R132" s="419">
        <f t="shared" si="137"/>
        <v>0</v>
      </c>
      <c r="S132" s="478">
        <f t="shared" si="138"/>
        <v>0</v>
      </c>
      <c r="T132" s="479">
        <f t="shared" si="138"/>
        <v>0</v>
      </c>
      <c r="U132" s="419">
        <f t="shared" si="139"/>
        <v>0</v>
      </c>
      <c r="V132" s="478">
        <f t="shared" si="140"/>
        <v>0</v>
      </c>
      <c r="W132" s="479">
        <f t="shared" si="140"/>
        <v>0</v>
      </c>
      <c r="X132" s="419">
        <f t="shared" si="141"/>
        <v>0</v>
      </c>
      <c r="Y132" s="478">
        <f t="shared" si="142"/>
        <v>0</v>
      </c>
      <c r="Z132" s="479">
        <f t="shared" si="142"/>
        <v>0</v>
      </c>
      <c r="AA132" s="419">
        <f t="shared" si="143"/>
        <v>0</v>
      </c>
      <c r="AB132" s="478">
        <f t="shared" si="144"/>
        <v>0</v>
      </c>
      <c r="AC132" s="479">
        <f t="shared" si="144"/>
        <v>0</v>
      </c>
      <c r="AD132" s="419">
        <f t="shared" si="145"/>
        <v>0</v>
      </c>
      <c r="AE132" s="478">
        <f t="shared" si="146"/>
        <v>0</v>
      </c>
      <c r="AF132" s="479">
        <f t="shared" si="146"/>
        <v>0</v>
      </c>
      <c r="AG132" s="419">
        <f t="shared" si="147"/>
        <v>0</v>
      </c>
      <c r="AH132" s="478">
        <f t="shared" si="148"/>
        <v>0</v>
      </c>
      <c r="AI132" s="479">
        <f t="shared" si="148"/>
        <v>0</v>
      </c>
      <c r="AJ132" s="419">
        <f t="shared" si="149"/>
        <v>0</v>
      </c>
      <c r="AK132" s="478">
        <f t="shared" si="150"/>
        <v>0</v>
      </c>
      <c r="AL132" s="479">
        <f t="shared" si="150"/>
        <v>0</v>
      </c>
      <c r="AM132" s="419">
        <f t="shared" si="151"/>
        <v>0</v>
      </c>
      <c r="AN132" s="478">
        <f t="shared" si="152"/>
        <v>0</v>
      </c>
      <c r="AO132" s="479">
        <f t="shared" si="152"/>
        <v>0</v>
      </c>
      <c r="AP132" s="419">
        <f t="shared" si="153"/>
        <v>0</v>
      </c>
      <c r="AQ132" s="478">
        <f t="shared" si="154"/>
        <v>0</v>
      </c>
      <c r="AR132" s="479">
        <f t="shared" si="154"/>
        <v>0</v>
      </c>
      <c r="AS132" s="419">
        <f t="shared" si="155"/>
        <v>0</v>
      </c>
    </row>
    <row r="133" spans="1:45" x14ac:dyDescent="0.25">
      <c r="A133" s="808"/>
      <c r="B133" s="810"/>
      <c r="C133" s="467" t="s">
        <v>31</v>
      </c>
      <c r="D133" s="468">
        <f t="shared" si="128"/>
        <v>0</v>
      </c>
      <c r="E133" s="469">
        <f t="shared" si="129"/>
        <v>0</v>
      </c>
      <c r="F133" s="470">
        <f t="shared" si="130"/>
        <v>0</v>
      </c>
      <c r="G133" s="477">
        <v>0</v>
      </c>
      <c r="H133" s="478">
        <v>0</v>
      </c>
      <c r="I133" s="417">
        <f t="shared" si="131"/>
        <v>0</v>
      </c>
      <c r="J133" s="478">
        <f t="shared" si="132"/>
        <v>0</v>
      </c>
      <c r="K133" s="478">
        <f t="shared" si="132"/>
        <v>0</v>
      </c>
      <c r="L133" s="417">
        <f t="shared" si="133"/>
        <v>0</v>
      </c>
      <c r="M133" s="478">
        <f t="shared" si="134"/>
        <v>0</v>
      </c>
      <c r="N133" s="478">
        <f t="shared" si="134"/>
        <v>0</v>
      </c>
      <c r="O133" s="417">
        <f t="shared" si="135"/>
        <v>0</v>
      </c>
      <c r="P133" s="478">
        <f t="shared" si="136"/>
        <v>0</v>
      </c>
      <c r="Q133" s="479">
        <f t="shared" si="136"/>
        <v>0</v>
      </c>
      <c r="R133" s="419">
        <f t="shared" si="137"/>
        <v>0</v>
      </c>
      <c r="S133" s="478">
        <f t="shared" si="138"/>
        <v>0</v>
      </c>
      <c r="T133" s="479">
        <f t="shared" si="138"/>
        <v>0</v>
      </c>
      <c r="U133" s="419">
        <f t="shared" si="139"/>
        <v>0</v>
      </c>
      <c r="V133" s="478">
        <f t="shared" si="140"/>
        <v>0</v>
      </c>
      <c r="W133" s="479">
        <f t="shared" si="140"/>
        <v>0</v>
      </c>
      <c r="X133" s="419">
        <f t="shared" si="141"/>
        <v>0</v>
      </c>
      <c r="Y133" s="478">
        <f t="shared" si="142"/>
        <v>0</v>
      </c>
      <c r="Z133" s="479">
        <f t="shared" si="142"/>
        <v>0</v>
      </c>
      <c r="AA133" s="419">
        <f t="shared" si="143"/>
        <v>0</v>
      </c>
      <c r="AB133" s="478">
        <f t="shared" si="144"/>
        <v>0</v>
      </c>
      <c r="AC133" s="479">
        <f t="shared" si="144"/>
        <v>0</v>
      </c>
      <c r="AD133" s="419">
        <f t="shared" si="145"/>
        <v>0</v>
      </c>
      <c r="AE133" s="478">
        <f t="shared" si="146"/>
        <v>0</v>
      </c>
      <c r="AF133" s="479">
        <f t="shared" si="146"/>
        <v>0</v>
      </c>
      <c r="AG133" s="419">
        <f t="shared" si="147"/>
        <v>0</v>
      </c>
      <c r="AH133" s="478">
        <f t="shared" si="148"/>
        <v>0</v>
      </c>
      <c r="AI133" s="479">
        <f t="shared" si="148"/>
        <v>0</v>
      </c>
      <c r="AJ133" s="419">
        <f t="shared" si="149"/>
        <v>0</v>
      </c>
      <c r="AK133" s="478">
        <f t="shared" si="150"/>
        <v>0</v>
      </c>
      <c r="AL133" s="479">
        <f t="shared" si="150"/>
        <v>0</v>
      </c>
      <c r="AM133" s="419">
        <f t="shared" si="151"/>
        <v>0</v>
      </c>
      <c r="AN133" s="478">
        <f t="shared" si="152"/>
        <v>0</v>
      </c>
      <c r="AO133" s="479">
        <f t="shared" si="152"/>
        <v>0</v>
      </c>
      <c r="AP133" s="419">
        <f t="shared" si="153"/>
        <v>0</v>
      </c>
      <c r="AQ133" s="478">
        <f t="shared" si="154"/>
        <v>0</v>
      </c>
      <c r="AR133" s="479">
        <f t="shared" si="154"/>
        <v>0</v>
      </c>
      <c r="AS133" s="419">
        <f t="shared" si="155"/>
        <v>0</v>
      </c>
    </row>
    <row r="134" spans="1:45" x14ac:dyDescent="0.25">
      <c r="A134" s="808"/>
      <c r="B134" s="810"/>
      <c r="C134" s="467" t="s">
        <v>32</v>
      </c>
      <c r="D134" s="468">
        <f t="shared" si="128"/>
        <v>0</v>
      </c>
      <c r="E134" s="469">
        <f t="shared" si="129"/>
        <v>0</v>
      </c>
      <c r="F134" s="470">
        <f t="shared" si="130"/>
        <v>0</v>
      </c>
      <c r="G134" s="477">
        <v>0</v>
      </c>
      <c r="H134" s="478">
        <v>0</v>
      </c>
      <c r="I134" s="417">
        <f t="shared" si="131"/>
        <v>0</v>
      </c>
      <c r="J134" s="478">
        <f t="shared" si="132"/>
        <v>0</v>
      </c>
      <c r="K134" s="478">
        <f t="shared" si="132"/>
        <v>0</v>
      </c>
      <c r="L134" s="417">
        <f t="shared" si="133"/>
        <v>0</v>
      </c>
      <c r="M134" s="478">
        <f t="shared" si="134"/>
        <v>0</v>
      </c>
      <c r="N134" s="478">
        <f t="shared" si="134"/>
        <v>0</v>
      </c>
      <c r="O134" s="417">
        <f t="shared" si="135"/>
        <v>0</v>
      </c>
      <c r="P134" s="478">
        <f t="shared" si="136"/>
        <v>0</v>
      </c>
      <c r="Q134" s="479">
        <f t="shared" si="136"/>
        <v>0</v>
      </c>
      <c r="R134" s="419">
        <f t="shared" si="137"/>
        <v>0</v>
      </c>
      <c r="S134" s="478">
        <f t="shared" si="138"/>
        <v>0</v>
      </c>
      <c r="T134" s="479">
        <f t="shared" si="138"/>
        <v>0</v>
      </c>
      <c r="U134" s="419">
        <f t="shared" si="139"/>
        <v>0</v>
      </c>
      <c r="V134" s="478">
        <f t="shared" si="140"/>
        <v>0</v>
      </c>
      <c r="W134" s="479">
        <f t="shared" si="140"/>
        <v>0</v>
      </c>
      <c r="X134" s="419">
        <f t="shared" si="141"/>
        <v>0</v>
      </c>
      <c r="Y134" s="478">
        <f t="shared" si="142"/>
        <v>0</v>
      </c>
      <c r="Z134" s="479">
        <f t="shared" si="142"/>
        <v>0</v>
      </c>
      <c r="AA134" s="419">
        <f t="shared" si="143"/>
        <v>0</v>
      </c>
      <c r="AB134" s="478">
        <f t="shared" si="144"/>
        <v>0</v>
      </c>
      <c r="AC134" s="479">
        <f t="shared" si="144"/>
        <v>0</v>
      </c>
      <c r="AD134" s="419">
        <f t="shared" si="145"/>
        <v>0</v>
      </c>
      <c r="AE134" s="478">
        <f t="shared" si="146"/>
        <v>0</v>
      </c>
      <c r="AF134" s="479">
        <f t="shared" si="146"/>
        <v>0</v>
      </c>
      <c r="AG134" s="419">
        <f t="shared" si="147"/>
        <v>0</v>
      </c>
      <c r="AH134" s="478">
        <f t="shared" si="148"/>
        <v>0</v>
      </c>
      <c r="AI134" s="479">
        <f t="shared" si="148"/>
        <v>0</v>
      </c>
      <c r="AJ134" s="419">
        <f t="shared" si="149"/>
        <v>0</v>
      </c>
      <c r="AK134" s="478">
        <f t="shared" si="150"/>
        <v>0</v>
      </c>
      <c r="AL134" s="479">
        <f t="shared" si="150"/>
        <v>0</v>
      </c>
      <c r="AM134" s="419">
        <f t="shared" si="151"/>
        <v>0</v>
      </c>
      <c r="AN134" s="478">
        <f t="shared" si="152"/>
        <v>0</v>
      </c>
      <c r="AO134" s="479">
        <f t="shared" si="152"/>
        <v>0</v>
      </c>
      <c r="AP134" s="419">
        <f t="shared" si="153"/>
        <v>0</v>
      </c>
      <c r="AQ134" s="478">
        <f t="shared" si="154"/>
        <v>0</v>
      </c>
      <c r="AR134" s="479">
        <f t="shared" si="154"/>
        <v>0</v>
      </c>
      <c r="AS134" s="419">
        <f t="shared" si="155"/>
        <v>0</v>
      </c>
    </row>
    <row r="135" spans="1:45" x14ac:dyDescent="0.25">
      <c r="A135" s="808"/>
      <c r="B135" s="810"/>
      <c r="C135" s="467" t="s">
        <v>33</v>
      </c>
      <c r="D135" s="468">
        <f t="shared" si="128"/>
        <v>0</v>
      </c>
      <c r="E135" s="469">
        <f t="shared" si="129"/>
        <v>0</v>
      </c>
      <c r="F135" s="470">
        <f t="shared" si="130"/>
        <v>0</v>
      </c>
      <c r="G135" s="477">
        <v>0</v>
      </c>
      <c r="H135" s="478">
        <v>0</v>
      </c>
      <c r="I135" s="417">
        <f t="shared" si="131"/>
        <v>0</v>
      </c>
      <c r="J135" s="478">
        <f t="shared" si="132"/>
        <v>0</v>
      </c>
      <c r="K135" s="478">
        <f t="shared" si="132"/>
        <v>0</v>
      </c>
      <c r="L135" s="417">
        <f t="shared" si="133"/>
        <v>0</v>
      </c>
      <c r="M135" s="478">
        <f t="shared" si="134"/>
        <v>0</v>
      </c>
      <c r="N135" s="478">
        <f t="shared" si="134"/>
        <v>0</v>
      </c>
      <c r="O135" s="417">
        <f t="shared" si="135"/>
        <v>0</v>
      </c>
      <c r="P135" s="478">
        <f t="shared" si="136"/>
        <v>0</v>
      </c>
      <c r="Q135" s="479">
        <f t="shared" si="136"/>
        <v>0</v>
      </c>
      <c r="R135" s="419">
        <f t="shared" si="137"/>
        <v>0</v>
      </c>
      <c r="S135" s="478">
        <f t="shared" si="138"/>
        <v>0</v>
      </c>
      <c r="T135" s="479">
        <f t="shared" si="138"/>
        <v>0</v>
      </c>
      <c r="U135" s="419">
        <f t="shared" si="139"/>
        <v>0</v>
      </c>
      <c r="V135" s="478">
        <f t="shared" si="140"/>
        <v>0</v>
      </c>
      <c r="W135" s="479">
        <f t="shared" si="140"/>
        <v>0</v>
      </c>
      <c r="X135" s="419">
        <f t="shared" si="141"/>
        <v>0</v>
      </c>
      <c r="Y135" s="478">
        <f t="shared" si="142"/>
        <v>0</v>
      </c>
      <c r="Z135" s="479">
        <f t="shared" si="142"/>
        <v>0</v>
      </c>
      <c r="AA135" s="419">
        <f t="shared" si="143"/>
        <v>0</v>
      </c>
      <c r="AB135" s="478">
        <f t="shared" si="144"/>
        <v>0</v>
      </c>
      <c r="AC135" s="479">
        <f t="shared" si="144"/>
        <v>0</v>
      </c>
      <c r="AD135" s="419">
        <f t="shared" si="145"/>
        <v>0</v>
      </c>
      <c r="AE135" s="478">
        <f t="shared" si="146"/>
        <v>0</v>
      </c>
      <c r="AF135" s="479">
        <f t="shared" si="146"/>
        <v>0</v>
      </c>
      <c r="AG135" s="419">
        <f t="shared" si="147"/>
        <v>0</v>
      </c>
      <c r="AH135" s="478">
        <f t="shared" si="148"/>
        <v>0</v>
      </c>
      <c r="AI135" s="479">
        <f t="shared" si="148"/>
        <v>0</v>
      </c>
      <c r="AJ135" s="419">
        <f t="shared" si="149"/>
        <v>0</v>
      </c>
      <c r="AK135" s="478">
        <f t="shared" si="150"/>
        <v>0</v>
      </c>
      <c r="AL135" s="479">
        <f t="shared" si="150"/>
        <v>0</v>
      </c>
      <c r="AM135" s="419">
        <f t="shared" si="151"/>
        <v>0</v>
      </c>
      <c r="AN135" s="478">
        <f t="shared" si="152"/>
        <v>0</v>
      </c>
      <c r="AO135" s="479">
        <f t="shared" si="152"/>
        <v>0</v>
      </c>
      <c r="AP135" s="419">
        <f t="shared" si="153"/>
        <v>0</v>
      </c>
      <c r="AQ135" s="478">
        <f t="shared" si="154"/>
        <v>0</v>
      </c>
      <c r="AR135" s="479">
        <f t="shared" si="154"/>
        <v>0</v>
      </c>
      <c r="AS135" s="419">
        <f t="shared" si="155"/>
        <v>0</v>
      </c>
    </row>
    <row r="136" spans="1:45" ht="15.75" thickBot="1" x14ac:dyDescent="0.3">
      <c r="A136" s="809"/>
      <c r="B136" s="811"/>
      <c r="C136" s="480" t="s">
        <v>34</v>
      </c>
      <c r="D136" s="481">
        <f t="shared" si="128"/>
        <v>0</v>
      </c>
      <c r="E136" s="482">
        <f t="shared" si="129"/>
        <v>0</v>
      </c>
      <c r="F136" s="483">
        <f t="shared" si="130"/>
        <v>0</v>
      </c>
      <c r="G136" s="484">
        <v>0</v>
      </c>
      <c r="H136" s="485">
        <v>0</v>
      </c>
      <c r="I136" s="426">
        <f t="shared" si="131"/>
        <v>0</v>
      </c>
      <c r="J136" s="485">
        <f t="shared" si="132"/>
        <v>0</v>
      </c>
      <c r="K136" s="485">
        <f t="shared" si="132"/>
        <v>0</v>
      </c>
      <c r="L136" s="426">
        <f t="shared" si="133"/>
        <v>0</v>
      </c>
      <c r="M136" s="485">
        <f t="shared" si="134"/>
        <v>0</v>
      </c>
      <c r="N136" s="485">
        <f t="shared" si="134"/>
        <v>0</v>
      </c>
      <c r="O136" s="426">
        <f t="shared" si="135"/>
        <v>0</v>
      </c>
      <c r="P136" s="485">
        <f t="shared" si="136"/>
        <v>0</v>
      </c>
      <c r="Q136" s="486">
        <f t="shared" si="136"/>
        <v>0</v>
      </c>
      <c r="R136" s="428">
        <f t="shared" si="137"/>
        <v>0</v>
      </c>
      <c r="S136" s="485">
        <f t="shared" si="138"/>
        <v>0</v>
      </c>
      <c r="T136" s="486">
        <f t="shared" si="138"/>
        <v>0</v>
      </c>
      <c r="U136" s="428">
        <f t="shared" si="139"/>
        <v>0</v>
      </c>
      <c r="V136" s="485">
        <f t="shared" si="140"/>
        <v>0</v>
      </c>
      <c r="W136" s="486">
        <f t="shared" si="140"/>
        <v>0</v>
      </c>
      <c r="X136" s="428">
        <f t="shared" si="141"/>
        <v>0</v>
      </c>
      <c r="Y136" s="485">
        <f t="shared" si="142"/>
        <v>0</v>
      </c>
      <c r="Z136" s="486">
        <f t="shared" si="142"/>
        <v>0</v>
      </c>
      <c r="AA136" s="428">
        <f t="shared" si="143"/>
        <v>0</v>
      </c>
      <c r="AB136" s="485">
        <f t="shared" si="144"/>
        <v>0</v>
      </c>
      <c r="AC136" s="486">
        <f t="shared" si="144"/>
        <v>0</v>
      </c>
      <c r="AD136" s="428">
        <f t="shared" si="145"/>
        <v>0</v>
      </c>
      <c r="AE136" s="485">
        <f t="shared" si="146"/>
        <v>0</v>
      </c>
      <c r="AF136" s="486">
        <f t="shared" si="146"/>
        <v>0</v>
      </c>
      <c r="AG136" s="428">
        <f t="shared" si="147"/>
        <v>0</v>
      </c>
      <c r="AH136" s="485">
        <f t="shared" si="148"/>
        <v>0</v>
      </c>
      <c r="AI136" s="486">
        <f t="shared" si="148"/>
        <v>0</v>
      </c>
      <c r="AJ136" s="428">
        <f t="shared" si="149"/>
        <v>0</v>
      </c>
      <c r="AK136" s="485">
        <f t="shared" si="150"/>
        <v>0</v>
      </c>
      <c r="AL136" s="486">
        <f t="shared" si="150"/>
        <v>0</v>
      </c>
      <c r="AM136" s="428">
        <f t="shared" si="151"/>
        <v>0</v>
      </c>
      <c r="AN136" s="485">
        <f t="shared" si="152"/>
        <v>0</v>
      </c>
      <c r="AO136" s="486">
        <f t="shared" si="152"/>
        <v>0</v>
      </c>
      <c r="AP136" s="428">
        <f t="shared" si="153"/>
        <v>0</v>
      </c>
      <c r="AQ136" s="485">
        <f t="shared" si="154"/>
        <v>0</v>
      </c>
      <c r="AR136" s="486">
        <f t="shared" si="154"/>
        <v>0</v>
      </c>
      <c r="AS136" s="428">
        <f t="shared" si="155"/>
        <v>0</v>
      </c>
    </row>
    <row r="137" spans="1:45" x14ac:dyDescent="0.25">
      <c r="A137" s="808" t="s">
        <v>189</v>
      </c>
      <c r="B137" s="810" t="s">
        <v>13</v>
      </c>
      <c r="C137" s="467" t="s">
        <v>25</v>
      </c>
      <c r="D137" s="468">
        <f t="shared" si="128"/>
        <v>0</v>
      </c>
      <c r="E137" s="469">
        <f t="shared" si="129"/>
        <v>0</v>
      </c>
      <c r="F137" s="470">
        <f t="shared" ref="F137:F156" si="156">I137+L137+O137+AS137</f>
        <v>0</v>
      </c>
      <c r="G137" s="487">
        <f t="shared" ref="G137:H146" si="157">G16*G36</f>
        <v>0</v>
      </c>
      <c r="H137" s="488">
        <f t="shared" si="157"/>
        <v>0</v>
      </c>
      <c r="I137" s="406">
        <f t="shared" si="131"/>
        <v>0</v>
      </c>
      <c r="J137" s="488">
        <f t="shared" ref="J137:K146" si="158">J16*J36</f>
        <v>0</v>
      </c>
      <c r="K137" s="488">
        <f t="shared" si="158"/>
        <v>0</v>
      </c>
      <c r="L137" s="406">
        <f t="shared" si="133"/>
        <v>0</v>
      </c>
      <c r="M137" s="488">
        <f t="shared" ref="M137:N146" si="159">M16*M36</f>
        <v>0</v>
      </c>
      <c r="N137" s="488">
        <f t="shared" si="159"/>
        <v>0</v>
      </c>
      <c r="O137" s="406">
        <f t="shared" si="135"/>
        <v>0</v>
      </c>
      <c r="P137" s="488">
        <f t="shared" ref="P137:Q146" si="160">P16*P36</f>
        <v>0</v>
      </c>
      <c r="Q137" s="489">
        <f t="shared" si="160"/>
        <v>0</v>
      </c>
      <c r="R137" s="490">
        <f t="shared" si="137"/>
        <v>0</v>
      </c>
      <c r="S137" s="488">
        <f t="shared" ref="S137:T146" si="161">S16*S36</f>
        <v>0</v>
      </c>
      <c r="T137" s="489">
        <f t="shared" si="161"/>
        <v>0</v>
      </c>
      <c r="U137" s="490">
        <f t="shared" si="139"/>
        <v>0</v>
      </c>
      <c r="V137" s="488">
        <f t="shared" ref="V137:W146" si="162">V16*V36</f>
        <v>0</v>
      </c>
      <c r="W137" s="489">
        <f t="shared" si="162"/>
        <v>0</v>
      </c>
      <c r="X137" s="490">
        <f t="shared" si="141"/>
        <v>0</v>
      </c>
      <c r="Y137" s="488">
        <f t="shared" ref="Y137:Z146" si="163">Y16*Y36</f>
        <v>0</v>
      </c>
      <c r="Z137" s="489">
        <f t="shared" si="163"/>
        <v>0</v>
      </c>
      <c r="AA137" s="490">
        <f t="shared" si="143"/>
        <v>0</v>
      </c>
      <c r="AB137" s="488">
        <f t="shared" ref="AB137:AC146" si="164">AB16*AB36</f>
        <v>0</v>
      </c>
      <c r="AC137" s="489">
        <f t="shared" si="164"/>
        <v>0</v>
      </c>
      <c r="AD137" s="490">
        <f t="shared" si="145"/>
        <v>0</v>
      </c>
      <c r="AE137" s="488">
        <f t="shared" ref="AE137:AF146" si="165">AE16*AE36</f>
        <v>0</v>
      </c>
      <c r="AF137" s="489">
        <f t="shared" si="165"/>
        <v>0</v>
      </c>
      <c r="AG137" s="490">
        <f t="shared" si="147"/>
        <v>0</v>
      </c>
      <c r="AH137" s="488">
        <f t="shared" ref="AH137:AI146" si="166">AH16*AH36</f>
        <v>0</v>
      </c>
      <c r="AI137" s="489">
        <f t="shared" si="166"/>
        <v>0</v>
      </c>
      <c r="AJ137" s="490">
        <f t="shared" si="149"/>
        <v>0</v>
      </c>
      <c r="AK137" s="488">
        <f t="shared" ref="AK137:AL146" si="167">AK16*AK36</f>
        <v>0</v>
      </c>
      <c r="AL137" s="489">
        <f t="shared" si="167"/>
        <v>0</v>
      </c>
      <c r="AM137" s="490">
        <f t="shared" si="151"/>
        <v>0</v>
      </c>
      <c r="AN137" s="488">
        <f t="shared" ref="AN137:AO146" si="168">AN16*AN36</f>
        <v>0</v>
      </c>
      <c r="AO137" s="489">
        <f t="shared" si="168"/>
        <v>0</v>
      </c>
      <c r="AP137" s="490">
        <f t="shared" si="153"/>
        <v>0</v>
      </c>
      <c r="AQ137" s="488">
        <f t="shared" ref="AQ137:AR146" si="169">AQ16*AQ36</f>
        <v>0</v>
      </c>
      <c r="AR137" s="489">
        <f t="shared" si="169"/>
        <v>0</v>
      </c>
      <c r="AS137" s="490">
        <f t="shared" si="155"/>
        <v>0</v>
      </c>
    </row>
    <row r="138" spans="1:45" x14ac:dyDescent="0.25">
      <c r="A138" s="808"/>
      <c r="B138" s="810"/>
      <c r="C138" s="467" t="s">
        <v>26</v>
      </c>
      <c r="D138" s="468">
        <f t="shared" si="128"/>
        <v>0</v>
      </c>
      <c r="E138" s="469">
        <f t="shared" si="129"/>
        <v>0</v>
      </c>
      <c r="F138" s="470">
        <f t="shared" si="156"/>
        <v>0</v>
      </c>
      <c r="G138" s="477">
        <f t="shared" si="157"/>
        <v>0</v>
      </c>
      <c r="H138" s="478">
        <f t="shared" si="157"/>
        <v>0</v>
      </c>
      <c r="I138" s="417">
        <f t="shared" si="131"/>
        <v>0</v>
      </c>
      <c r="J138" s="478">
        <f t="shared" si="158"/>
        <v>0</v>
      </c>
      <c r="K138" s="478">
        <f t="shared" si="158"/>
        <v>0</v>
      </c>
      <c r="L138" s="417">
        <f t="shared" si="133"/>
        <v>0</v>
      </c>
      <c r="M138" s="478">
        <f t="shared" si="159"/>
        <v>0</v>
      </c>
      <c r="N138" s="478">
        <f t="shared" si="159"/>
        <v>0</v>
      </c>
      <c r="O138" s="417">
        <f t="shared" si="135"/>
        <v>0</v>
      </c>
      <c r="P138" s="478">
        <f t="shared" si="160"/>
        <v>0</v>
      </c>
      <c r="Q138" s="479">
        <f t="shared" si="160"/>
        <v>0</v>
      </c>
      <c r="R138" s="419">
        <f t="shared" si="137"/>
        <v>0</v>
      </c>
      <c r="S138" s="478">
        <f t="shared" si="161"/>
        <v>0</v>
      </c>
      <c r="T138" s="479">
        <f t="shared" si="161"/>
        <v>0</v>
      </c>
      <c r="U138" s="419">
        <f t="shared" si="139"/>
        <v>0</v>
      </c>
      <c r="V138" s="478">
        <f t="shared" si="162"/>
        <v>0</v>
      </c>
      <c r="W138" s="479">
        <f t="shared" si="162"/>
        <v>0</v>
      </c>
      <c r="X138" s="419">
        <f t="shared" si="141"/>
        <v>0</v>
      </c>
      <c r="Y138" s="478">
        <f t="shared" si="163"/>
        <v>0</v>
      </c>
      <c r="Z138" s="479">
        <f t="shared" si="163"/>
        <v>0</v>
      </c>
      <c r="AA138" s="419">
        <f t="shared" si="143"/>
        <v>0</v>
      </c>
      <c r="AB138" s="478">
        <f t="shared" si="164"/>
        <v>0</v>
      </c>
      <c r="AC138" s="479">
        <f t="shared" si="164"/>
        <v>0</v>
      </c>
      <c r="AD138" s="419">
        <f t="shared" si="145"/>
        <v>0</v>
      </c>
      <c r="AE138" s="478">
        <f t="shared" si="165"/>
        <v>0</v>
      </c>
      <c r="AF138" s="479">
        <f t="shared" si="165"/>
        <v>0</v>
      </c>
      <c r="AG138" s="419">
        <f t="shared" si="147"/>
        <v>0</v>
      </c>
      <c r="AH138" s="478">
        <f t="shared" si="166"/>
        <v>0</v>
      </c>
      <c r="AI138" s="479">
        <f t="shared" si="166"/>
        <v>0</v>
      </c>
      <c r="AJ138" s="419">
        <f t="shared" si="149"/>
        <v>0</v>
      </c>
      <c r="AK138" s="478">
        <f t="shared" si="167"/>
        <v>0</v>
      </c>
      <c r="AL138" s="479">
        <f t="shared" si="167"/>
        <v>0</v>
      </c>
      <c r="AM138" s="419">
        <f t="shared" si="151"/>
        <v>0</v>
      </c>
      <c r="AN138" s="478">
        <f t="shared" si="168"/>
        <v>0</v>
      </c>
      <c r="AO138" s="479">
        <f t="shared" si="168"/>
        <v>0</v>
      </c>
      <c r="AP138" s="419">
        <f t="shared" si="153"/>
        <v>0</v>
      </c>
      <c r="AQ138" s="478">
        <f t="shared" si="169"/>
        <v>0</v>
      </c>
      <c r="AR138" s="479">
        <f t="shared" si="169"/>
        <v>0</v>
      </c>
      <c r="AS138" s="419">
        <f t="shared" si="155"/>
        <v>0</v>
      </c>
    </row>
    <row r="139" spans="1:45" x14ac:dyDescent="0.25">
      <c r="A139" s="808"/>
      <c r="B139" s="810"/>
      <c r="C139" s="467" t="s">
        <v>27</v>
      </c>
      <c r="D139" s="468">
        <f t="shared" si="128"/>
        <v>0</v>
      </c>
      <c r="E139" s="469">
        <f t="shared" si="129"/>
        <v>0</v>
      </c>
      <c r="F139" s="470">
        <f t="shared" si="156"/>
        <v>0</v>
      </c>
      <c r="G139" s="477">
        <f t="shared" si="157"/>
        <v>0</v>
      </c>
      <c r="H139" s="478">
        <f>H18*H38</f>
        <v>0</v>
      </c>
      <c r="I139" s="417">
        <f t="shared" si="131"/>
        <v>0</v>
      </c>
      <c r="J139" s="478">
        <f t="shared" si="158"/>
        <v>0</v>
      </c>
      <c r="K139" s="478">
        <f t="shared" si="158"/>
        <v>0</v>
      </c>
      <c r="L139" s="417">
        <f t="shared" si="133"/>
        <v>0</v>
      </c>
      <c r="M139" s="478">
        <f t="shared" si="159"/>
        <v>0</v>
      </c>
      <c r="N139" s="478">
        <f t="shared" si="159"/>
        <v>0</v>
      </c>
      <c r="O139" s="417">
        <f t="shared" si="135"/>
        <v>0</v>
      </c>
      <c r="P139" s="478">
        <f t="shared" si="160"/>
        <v>0</v>
      </c>
      <c r="Q139" s="479">
        <f t="shared" si="160"/>
        <v>0</v>
      </c>
      <c r="R139" s="419">
        <f t="shared" si="137"/>
        <v>0</v>
      </c>
      <c r="S139" s="478">
        <f t="shared" si="161"/>
        <v>0</v>
      </c>
      <c r="T139" s="479">
        <f t="shared" si="161"/>
        <v>0</v>
      </c>
      <c r="U139" s="419">
        <f t="shared" si="139"/>
        <v>0</v>
      </c>
      <c r="V139" s="478">
        <f t="shared" si="162"/>
        <v>0</v>
      </c>
      <c r="W139" s="479">
        <f t="shared" si="162"/>
        <v>0</v>
      </c>
      <c r="X139" s="419">
        <f t="shared" si="141"/>
        <v>0</v>
      </c>
      <c r="Y139" s="478">
        <f t="shared" si="163"/>
        <v>0</v>
      </c>
      <c r="Z139" s="479">
        <f t="shared" si="163"/>
        <v>0</v>
      </c>
      <c r="AA139" s="419">
        <f t="shared" si="143"/>
        <v>0</v>
      </c>
      <c r="AB139" s="478">
        <f t="shared" si="164"/>
        <v>0</v>
      </c>
      <c r="AC139" s="479">
        <f t="shared" si="164"/>
        <v>0</v>
      </c>
      <c r="AD139" s="419">
        <f t="shared" si="145"/>
        <v>0</v>
      </c>
      <c r="AE139" s="478">
        <f t="shared" si="165"/>
        <v>0</v>
      </c>
      <c r="AF139" s="479">
        <f t="shared" si="165"/>
        <v>0</v>
      </c>
      <c r="AG139" s="419">
        <f t="shared" si="147"/>
        <v>0</v>
      </c>
      <c r="AH139" s="478">
        <f t="shared" si="166"/>
        <v>0</v>
      </c>
      <c r="AI139" s="479">
        <f t="shared" si="166"/>
        <v>0</v>
      </c>
      <c r="AJ139" s="419">
        <f t="shared" si="149"/>
        <v>0</v>
      </c>
      <c r="AK139" s="478">
        <f t="shared" si="167"/>
        <v>0</v>
      </c>
      <c r="AL139" s="479">
        <f t="shared" si="167"/>
        <v>0</v>
      </c>
      <c r="AM139" s="419">
        <f t="shared" si="151"/>
        <v>0</v>
      </c>
      <c r="AN139" s="478">
        <f t="shared" si="168"/>
        <v>0</v>
      </c>
      <c r="AO139" s="479">
        <f t="shared" si="168"/>
        <v>0</v>
      </c>
      <c r="AP139" s="419">
        <f t="shared" si="153"/>
        <v>0</v>
      </c>
      <c r="AQ139" s="478">
        <f t="shared" si="169"/>
        <v>0</v>
      </c>
      <c r="AR139" s="479">
        <f t="shared" si="169"/>
        <v>0</v>
      </c>
      <c r="AS139" s="419">
        <f t="shared" si="155"/>
        <v>0</v>
      </c>
    </row>
    <row r="140" spans="1:45" x14ac:dyDescent="0.25">
      <c r="A140" s="808"/>
      <c r="B140" s="810"/>
      <c r="C140" s="467" t="s">
        <v>28</v>
      </c>
      <c r="D140" s="468">
        <f t="shared" si="128"/>
        <v>0</v>
      </c>
      <c r="E140" s="469">
        <f t="shared" si="129"/>
        <v>0</v>
      </c>
      <c r="F140" s="470">
        <f t="shared" si="156"/>
        <v>0</v>
      </c>
      <c r="G140" s="477">
        <f t="shared" si="157"/>
        <v>0</v>
      </c>
      <c r="H140" s="478">
        <f>H19*H39</f>
        <v>0</v>
      </c>
      <c r="I140" s="417">
        <f t="shared" si="131"/>
        <v>0</v>
      </c>
      <c r="J140" s="478">
        <f t="shared" si="158"/>
        <v>0</v>
      </c>
      <c r="K140" s="478">
        <f t="shared" si="158"/>
        <v>0</v>
      </c>
      <c r="L140" s="417">
        <f t="shared" si="133"/>
        <v>0</v>
      </c>
      <c r="M140" s="478">
        <f t="shared" si="159"/>
        <v>0</v>
      </c>
      <c r="N140" s="478">
        <f t="shared" si="159"/>
        <v>0</v>
      </c>
      <c r="O140" s="417">
        <f t="shared" si="135"/>
        <v>0</v>
      </c>
      <c r="P140" s="478">
        <f t="shared" si="160"/>
        <v>0</v>
      </c>
      <c r="Q140" s="479">
        <f t="shared" si="160"/>
        <v>0</v>
      </c>
      <c r="R140" s="419">
        <f t="shared" si="137"/>
        <v>0</v>
      </c>
      <c r="S140" s="478">
        <f t="shared" si="161"/>
        <v>0</v>
      </c>
      <c r="T140" s="479">
        <f t="shared" si="161"/>
        <v>0</v>
      </c>
      <c r="U140" s="419">
        <f t="shared" si="139"/>
        <v>0</v>
      </c>
      <c r="V140" s="478">
        <f t="shared" si="162"/>
        <v>0</v>
      </c>
      <c r="W140" s="479">
        <f t="shared" si="162"/>
        <v>0</v>
      </c>
      <c r="X140" s="419">
        <f t="shared" si="141"/>
        <v>0</v>
      </c>
      <c r="Y140" s="478">
        <f t="shared" si="163"/>
        <v>0</v>
      </c>
      <c r="Z140" s="479">
        <f t="shared" si="163"/>
        <v>0</v>
      </c>
      <c r="AA140" s="419">
        <f t="shared" si="143"/>
        <v>0</v>
      </c>
      <c r="AB140" s="478">
        <f t="shared" si="164"/>
        <v>0</v>
      </c>
      <c r="AC140" s="479">
        <f t="shared" si="164"/>
        <v>0</v>
      </c>
      <c r="AD140" s="419">
        <f t="shared" si="145"/>
        <v>0</v>
      </c>
      <c r="AE140" s="478">
        <f t="shared" si="165"/>
        <v>0</v>
      </c>
      <c r="AF140" s="479">
        <f t="shared" si="165"/>
        <v>0</v>
      </c>
      <c r="AG140" s="419">
        <f t="shared" si="147"/>
        <v>0</v>
      </c>
      <c r="AH140" s="478">
        <f t="shared" si="166"/>
        <v>0</v>
      </c>
      <c r="AI140" s="479">
        <f t="shared" si="166"/>
        <v>0</v>
      </c>
      <c r="AJ140" s="419">
        <f t="shared" si="149"/>
        <v>0</v>
      </c>
      <c r="AK140" s="478">
        <f t="shared" si="167"/>
        <v>0</v>
      </c>
      <c r="AL140" s="479">
        <f t="shared" si="167"/>
        <v>0</v>
      </c>
      <c r="AM140" s="419">
        <f t="shared" si="151"/>
        <v>0</v>
      </c>
      <c r="AN140" s="478">
        <f t="shared" si="168"/>
        <v>0</v>
      </c>
      <c r="AO140" s="479">
        <f t="shared" si="168"/>
        <v>0</v>
      </c>
      <c r="AP140" s="419">
        <f t="shared" si="153"/>
        <v>0</v>
      </c>
      <c r="AQ140" s="478">
        <f t="shared" si="169"/>
        <v>0</v>
      </c>
      <c r="AR140" s="479">
        <f t="shared" si="169"/>
        <v>0</v>
      </c>
      <c r="AS140" s="419">
        <f t="shared" si="155"/>
        <v>0</v>
      </c>
    </row>
    <row r="141" spans="1:45" x14ac:dyDescent="0.25">
      <c r="A141" s="808"/>
      <c r="B141" s="810"/>
      <c r="C141" s="467" t="s">
        <v>29</v>
      </c>
      <c r="D141" s="468">
        <f t="shared" si="128"/>
        <v>0</v>
      </c>
      <c r="E141" s="469">
        <f t="shared" si="129"/>
        <v>0</v>
      </c>
      <c r="F141" s="470">
        <f t="shared" si="156"/>
        <v>0</v>
      </c>
      <c r="G141" s="477">
        <f t="shared" si="157"/>
        <v>0</v>
      </c>
      <c r="H141" s="478">
        <f t="shared" si="157"/>
        <v>0</v>
      </c>
      <c r="I141" s="417">
        <f t="shared" si="131"/>
        <v>0</v>
      </c>
      <c r="J141" s="478">
        <f t="shared" si="158"/>
        <v>0</v>
      </c>
      <c r="K141" s="478">
        <f t="shared" si="158"/>
        <v>0</v>
      </c>
      <c r="L141" s="417">
        <f t="shared" si="133"/>
        <v>0</v>
      </c>
      <c r="M141" s="478">
        <f t="shared" si="159"/>
        <v>0</v>
      </c>
      <c r="N141" s="478">
        <f t="shared" si="159"/>
        <v>0</v>
      </c>
      <c r="O141" s="417">
        <f t="shared" si="135"/>
        <v>0</v>
      </c>
      <c r="P141" s="478">
        <f t="shared" si="160"/>
        <v>0</v>
      </c>
      <c r="Q141" s="479">
        <f t="shared" si="160"/>
        <v>0</v>
      </c>
      <c r="R141" s="419">
        <f t="shared" si="137"/>
        <v>0</v>
      </c>
      <c r="S141" s="478">
        <f t="shared" si="161"/>
        <v>0</v>
      </c>
      <c r="T141" s="479">
        <f t="shared" si="161"/>
        <v>0</v>
      </c>
      <c r="U141" s="419">
        <f t="shared" si="139"/>
        <v>0</v>
      </c>
      <c r="V141" s="478">
        <f t="shared" si="162"/>
        <v>0</v>
      </c>
      <c r="W141" s="479">
        <f t="shared" si="162"/>
        <v>0</v>
      </c>
      <c r="X141" s="419">
        <f t="shared" si="141"/>
        <v>0</v>
      </c>
      <c r="Y141" s="478">
        <f t="shared" si="163"/>
        <v>0</v>
      </c>
      <c r="Z141" s="479">
        <f t="shared" si="163"/>
        <v>0</v>
      </c>
      <c r="AA141" s="419">
        <f t="shared" si="143"/>
        <v>0</v>
      </c>
      <c r="AB141" s="478">
        <f t="shared" si="164"/>
        <v>0</v>
      </c>
      <c r="AC141" s="479">
        <f t="shared" si="164"/>
        <v>0</v>
      </c>
      <c r="AD141" s="419">
        <f t="shared" si="145"/>
        <v>0</v>
      </c>
      <c r="AE141" s="478">
        <f t="shared" si="165"/>
        <v>0</v>
      </c>
      <c r="AF141" s="479">
        <f t="shared" si="165"/>
        <v>0</v>
      </c>
      <c r="AG141" s="419">
        <f t="shared" si="147"/>
        <v>0</v>
      </c>
      <c r="AH141" s="478">
        <f t="shared" si="166"/>
        <v>0</v>
      </c>
      <c r="AI141" s="479">
        <f t="shared" si="166"/>
        <v>0</v>
      </c>
      <c r="AJ141" s="419">
        <f t="shared" si="149"/>
        <v>0</v>
      </c>
      <c r="AK141" s="478">
        <f t="shared" si="167"/>
        <v>0</v>
      </c>
      <c r="AL141" s="479">
        <f t="shared" si="167"/>
        <v>0</v>
      </c>
      <c r="AM141" s="419">
        <f t="shared" si="151"/>
        <v>0</v>
      </c>
      <c r="AN141" s="478">
        <f t="shared" si="168"/>
        <v>0</v>
      </c>
      <c r="AO141" s="479">
        <f t="shared" si="168"/>
        <v>0</v>
      </c>
      <c r="AP141" s="419">
        <f t="shared" si="153"/>
        <v>0</v>
      </c>
      <c r="AQ141" s="478">
        <f t="shared" si="169"/>
        <v>0</v>
      </c>
      <c r="AR141" s="479">
        <f t="shared" si="169"/>
        <v>0</v>
      </c>
      <c r="AS141" s="419">
        <f t="shared" si="155"/>
        <v>0</v>
      </c>
    </row>
    <row r="142" spans="1:45" x14ac:dyDescent="0.25">
      <c r="A142" s="808"/>
      <c r="B142" s="810"/>
      <c r="C142" s="467" t="s">
        <v>30</v>
      </c>
      <c r="D142" s="468">
        <f t="shared" si="128"/>
        <v>0</v>
      </c>
      <c r="E142" s="469">
        <f t="shared" si="129"/>
        <v>0</v>
      </c>
      <c r="F142" s="470">
        <f t="shared" si="156"/>
        <v>0</v>
      </c>
      <c r="G142" s="477">
        <f t="shared" si="157"/>
        <v>0</v>
      </c>
      <c r="H142" s="478">
        <f t="shared" si="157"/>
        <v>0</v>
      </c>
      <c r="I142" s="417">
        <f t="shared" si="131"/>
        <v>0</v>
      </c>
      <c r="J142" s="478">
        <f t="shared" si="158"/>
        <v>0</v>
      </c>
      <c r="K142" s="478">
        <f t="shared" si="158"/>
        <v>0</v>
      </c>
      <c r="L142" s="417">
        <f t="shared" si="133"/>
        <v>0</v>
      </c>
      <c r="M142" s="478">
        <f t="shared" si="159"/>
        <v>0</v>
      </c>
      <c r="N142" s="478">
        <f t="shared" si="159"/>
        <v>0</v>
      </c>
      <c r="O142" s="417">
        <f t="shared" si="135"/>
        <v>0</v>
      </c>
      <c r="P142" s="478">
        <f t="shared" si="160"/>
        <v>0</v>
      </c>
      <c r="Q142" s="479">
        <f t="shared" si="160"/>
        <v>0</v>
      </c>
      <c r="R142" s="419">
        <f t="shared" si="137"/>
        <v>0</v>
      </c>
      <c r="S142" s="478">
        <f t="shared" si="161"/>
        <v>0</v>
      </c>
      <c r="T142" s="479">
        <f t="shared" si="161"/>
        <v>0</v>
      </c>
      <c r="U142" s="419">
        <f t="shared" si="139"/>
        <v>0</v>
      </c>
      <c r="V142" s="478">
        <f t="shared" si="162"/>
        <v>0</v>
      </c>
      <c r="W142" s="479">
        <f t="shared" si="162"/>
        <v>0</v>
      </c>
      <c r="X142" s="419">
        <f t="shared" si="141"/>
        <v>0</v>
      </c>
      <c r="Y142" s="478">
        <f t="shared" si="163"/>
        <v>0</v>
      </c>
      <c r="Z142" s="479">
        <f t="shared" si="163"/>
        <v>0</v>
      </c>
      <c r="AA142" s="419">
        <f t="shared" si="143"/>
        <v>0</v>
      </c>
      <c r="AB142" s="478">
        <f t="shared" si="164"/>
        <v>0</v>
      </c>
      <c r="AC142" s="479">
        <f t="shared" si="164"/>
        <v>0</v>
      </c>
      <c r="AD142" s="419">
        <f t="shared" si="145"/>
        <v>0</v>
      </c>
      <c r="AE142" s="478">
        <f t="shared" si="165"/>
        <v>0</v>
      </c>
      <c r="AF142" s="479">
        <f t="shared" si="165"/>
        <v>0</v>
      </c>
      <c r="AG142" s="419">
        <f t="shared" si="147"/>
        <v>0</v>
      </c>
      <c r="AH142" s="478">
        <f t="shared" si="166"/>
        <v>0</v>
      </c>
      <c r="AI142" s="479">
        <f t="shared" si="166"/>
        <v>0</v>
      </c>
      <c r="AJ142" s="419">
        <f t="shared" si="149"/>
        <v>0</v>
      </c>
      <c r="AK142" s="478">
        <f t="shared" si="167"/>
        <v>0</v>
      </c>
      <c r="AL142" s="479">
        <f t="shared" si="167"/>
        <v>0</v>
      </c>
      <c r="AM142" s="419">
        <f t="shared" si="151"/>
        <v>0</v>
      </c>
      <c r="AN142" s="478">
        <f t="shared" si="168"/>
        <v>0</v>
      </c>
      <c r="AO142" s="479">
        <f t="shared" si="168"/>
        <v>0</v>
      </c>
      <c r="AP142" s="419">
        <f t="shared" si="153"/>
        <v>0</v>
      </c>
      <c r="AQ142" s="478">
        <f t="shared" si="169"/>
        <v>0</v>
      </c>
      <c r="AR142" s="479">
        <f t="shared" si="169"/>
        <v>0</v>
      </c>
      <c r="AS142" s="419">
        <f t="shared" si="155"/>
        <v>0</v>
      </c>
    </row>
    <row r="143" spans="1:45" x14ac:dyDescent="0.25">
      <c r="A143" s="808"/>
      <c r="B143" s="810"/>
      <c r="C143" s="467" t="s">
        <v>31</v>
      </c>
      <c r="D143" s="468">
        <f t="shared" si="128"/>
        <v>0</v>
      </c>
      <c r="E143" s="469">
        <f t="shared" si="129"/>
        <v>0</v>
      </c>
      <c r="F143" s="470">
        <f t="shared" si="156"/>
        <v>0</v>
      </c>
      <c r="G143" s="477">
        <f t="shared" si="157"/>
        <v>0</v>
      </c>
      <c r="H143" s="478">
        <f t="shared" si="157"/>
        <v>0</v>
      </c>
      <c r="I143" s="417">
        <f t="shared" si="131"/>
        <v>0</v>
      </c>
      <c r="J143" s="478">
        <f t="shared" si="158"/>
        <v>0</v>
      </c>
      <c r="K143" s="478">
        <f t="shared" si="158"/>
        <v>0</v>
      </c>
      <c r="L143" s="417">
        <f t="shared" si="133"/>
        <v>0</v>
      </c>
      <c r="M143" s="478">
        <f t="shared" si="159"/>
        <v>0</v>
      </c>
      <c r="N143" s="478">
        <f t="shared" si="159"/>
        <v>0</v>
      </c>
      <c r="O143" s="417">
        <f t="shared" si="135"/>
        <v>0</v>
      </c>
      <c r="P143" s="478">
        <f t="shared" si="160"/>
        <v>0</v>
      </c>
      <c r="Q143" s="479">
        <f t="shared" si="160"/>
        <v>0</v>
      </c>
      <c r="R143" s="419">
        <f t="shared" si="137"/>
        <v>0</v>
      </c>
      <c r="S143" s="478">
        <f t="shared" si="161"/>
        <v>0</v>
      </c>
      <c r="T143" s="479">
        <f t="shared" si="161"/>
        <v>0</v>
      </c>
      <c r="U143" s="419">
        <f t="shared" si="139"/>
        <v>0</v>
      </c>
      <c r="V143" s="478">
        <f t="shared" si="162"/>
        <v>0</v>
      </c>
      <c r="W143" s="479">
        <f t="shared" si="162"/>
        <v>0</v>
      </c>
      <c r="X143" s="419">
        <f t="shared" si="141"/>
        <v>0</v>
      </c>
      <c r="Y143" s="478">
        <f t="shared" si="163"/>
        <v>0</v>
      </c>
      <c r="Z143" s="479">
        <f t="shared" si="163"/>
        <v>0</v>
      </c>
      <c r="AA143" s="419">
        <f t="shared" si="143"/>
        <v>0</v>
      </c>
      <c r="AB143" s="478">
        <f t="shared" si="164"/>
        <v>0</v>
      </c>
      <c r="AC143" s="479">
        <f t="shared" si="164"/>
        <v>0</v>
      </c>
      <c r="AD143" s="419">
        <f t="shared" si="145"/>
        <v>0</v>
      </c>
      <c r="AE143" s="478">
        <f t="shared" si="165"/>
        <v>0</v>
      </c>
      <c r="AF143" s="479">
        <f t="shared" si="165"/>
        <v>0</v>
      </c>
      <c r="AG143" s="419">
        <f t="shared" si="147"/>
        <v>0</v>
      </c>
      <c r="AH143" s="478">
        <f t="shared" si="166"/>
        <v>0</v>
      </c>
      <c r="AI143" s="479">
        <f t="shared" si="166"/>
        <v>0</v>
      </c>
      <c r="AJ143" s="419">
        <f t="shared" si="149"/>
        <v>0</v>
      </c>
      <c r="AK143" s="478">
        <f t="shared" si="167"/>
        <v>0</v>
      </c>
      <c r="AL143" s="479">
        <f t="shared" si="167"/>
        <v>0</v>
      </c>
      <c r="AM143" s="419">
        <f t="shared" si="151"/>
        <v>0</v>
      </c>
      <c r="AN143" s="478">
        <f t="shared" si="168"/>
        <v>0</v>
      </c>
      <c r="AO143" s="479">
        <f t="shared" si="168"/>
        <v>0</v>
      </c>
      <c r="AP143" s="419">
        <f t="shared" si="153"/>
        <v>0</v>
      </c>
      <c r="AQ143" s="478">
        <f t="shared" si="169"/>
        <v>0</v>
      </c>
      <c r="AR143" s="479">
        <f t="shared" si="169"/>
        <v>0</v>
      </c>
      <c r="AS143" s="419">
        <f t="shared" si="155"/>
        <v>0</v>
      </c>
    </row>
    <row r="144" spans="1:45" x14ac:dyDescent="0.25">
      <c r="A144" s="808"/>
      <c r="B144" s="810"/>
      <c r="C144" s="467" t="s">
        <v>32</v>
      </c>
      <c r="D144" s="468">
        <f t="shared" si="128"/>
        <v>0</v>
      </c>
      <c r="E144" s="469">
        <f t="shared" si="129"/>
        <v>0</v>
      </c>
      <c r="F144" s="470">
        <f t="shared" si="156"/>
        <v>0</v>
      </c>
      <c r="G144" s="477">
        <f t="shared" si="157"/>
        <v>0</v>
      </c>
      <c r="H144" s="478">
        <f t="shared" si="157"/>
        <v>0</v>
      </c>
      <c r="I144" s="417">
        <f t="shared" si="131"/>
        <v>0</v>
      </c>
      <c r="J144" s="478">
        <f t="shared" si="158"/>
        <v>0</v>
      </c>
      <c r="K144" s="478">
        <f t="shared" si="158"/>
        <v>0</v>
      </c>
      <c r="L144" s="417">
        <f t="shared" si="133"/>
        <v>0</v>
      </c>
      <c r="M144" s="478">
        <f t="shared" si="159"/>
        <v>0</v>
      </c>
      <c r="N144" s="478">
        <f t="shared" si="159"/>
        <v>0</v>
      </c>
      <c r="O144" s="417">
        <f t="shared" si="135"/>
        <v>0</v>
      </c>
      <c r="P144" s="478">
        <f t="shared" si="160"/>
        <v>0</v>
      </c>
      <c r="Q144" s="479">
        <f t="shared" si="160"/>
        <v>0</v>
      </c>
      <c r="R144" s="419">
        <f t="shared" si="137"/>
        <v>0</v>
      </c>
      <c r="S144" s="478">
        <f t="shared" si="161"/>
        <v>0</v>
      </c>
      <c r="T144" s="479">
        <f t="shared" si="161"/>
        <v>0</v>
      </c>
      <c r="U144" s="419">
        <f t="shared" si="139"/>
        <v>0</v>
      </c>
      <c r="V144" s="478">
        <f t="shared" si="162"/>
        <v>0</v>
      </c>
      <c r="W144" s="479">
        <f t="shared" si="162"/>
        <v>0</v>
      </c>
      <c r="X144" s="419">
        <f t="shared" si="141"/>
        <v>0</v>
      </c>
      <c r="Y144" s="478">
        <f t="shared" si="163"/>
        <v>0</v>
      </c>
      <c r="Z144" s="479">
        <f t="shared" si="163"/>
        <v>0</v>
      </c>
      <c r="AA144" s="419">
        <f t="shared" si="143"/>
        <v>0</v>
      </c>
      <c r="AB144" s="478">
        <f t="shared" si="164"/>
        <v>0</v>
      </c>
      <c r="AC144" s="479">
        <f t="shared" si="164"/>
        <v>0</v>
      </c>
      <c r="AD144" s="419">
        <f t="shared" si="145"/>
        <v>0</v>
      </c>
      <c r="AE144" s="478">
        <f t="shared" si="165"/>
        <v>0</v>
      </c>
      <c r="AF144" s="479">
        <f t="shared" si="165"/>
        <v>0</v>
      </c>
      <c r="AG144" s="419">
        <f t="shared" si="147"/>
        <v>0</v>
      </c>
      <c r="AH144" s="478">
        <f t="shared" si="166"/>
        <v>0</v>
      </c>
      <c r="AI144" s="479">
        <f t="shared" si="166"/>
        <v>0</v>
      </c>
      <c r="AJ144" s="419">
        <f t="shared" si="149"/>
        <v>0</v>
      </c>
      <c r="AK144" s="478">
        <f t="shared" si="167"/>
        <v>0</v>
      </c>
      <c r="AL144" s="479">
        <f t="shared" si="167"/>
        <v>0</v>
      </c>
      <c r="AM144" s="419">
        <f t="shared" si="151"/>
        <v>0</v>
      </c>
      <c r="AN144" s="478">
        <f t="shared" si="168"/>
        <v>0</v>
      </c>
      <c r="AO144" s="479">
        <f t="shared" si="168"/>
        <v>0</v>
      </c>
      <c r="AP144" s="419">
        <f t="shared" si="153"/>
        <v>0</v>
      </c>
      <c r="AQ144" s="478">
        <f t="shared" si="169"/>
        <v>0</v>
      </c>
      <c r="AR144" s="479">
        <f t="shared" si="169"/>
        <v>0</v>
      </c>
      <c r="AS144" s="419">
        <f t="shared" si="155"/>
        <v>0</v>
      </c>
    </row>
    <row r="145" spans="1:46" x14ac:dyDescent="0.25">
      <c r="A145" s="808"/>
      <c r="B145" s="810"/>
      <c r="C145" s="467" t="s">
        <v>33</v>
      </c>
      <c r="D145" s="468">
        <f t="shared" si="128"/>
        <v>0</v>
      </c>
      <c r="E145" s="469">
        <f t="shared" si="129"/>
        <v>0</v>
      </c>
      <c r="F145" s="470">
        <f t="shared" si="156"/>
        <v>0</v>
      </c>
      <c r="G145" s="477">
        <f t="shared" si="157"/>
        <v>0</v>
      </c>
      <c r="H145" s="478">
        <f t="shared" si="157"/>
        <v>0</v>
      </c>
      <c r="I145" s="417">
        <f t="shared" si="131"/>
        <v>0</v>
      </c>
      <c r="J145" s="478">
        <f t="shared" si="158"/>
        <v>0</v>
      </c>
      <c r="K145" s="478">
        <f t="shared" si="158"/>
        <v>0</v>
      </c>
      <c r="L145" s="417">
        <f t="shared" si="133"/>
        <v>0</v>
      </c>
      <c r="M145" s="478">
        <f t="shared" si="159"/>
        <v>0</v>
      </c>
      <c r="N145" s="478">
        <f t="shared" si="159"/>
        <v>0</v>
      </c>
      <c r="O145" s="417">
        <f t="shared" si="135"/>
        <v>0</v>
      </c>
      <c r="P145" s="478">
        <f t="shared" si="160"/>
        <v>0</v>
      </c>
      <c r="Q145" s="479">
        <f t="shared" si="160"/>
        <v>0</v>
      </c>
      <c r="R145" s="419">
        <f t="shared" si="137"/>
        <v>0</v>
      </c>
      <c r="S145" s="478">
        <f t="shared" si="161"/>
        <v>0</v>
      </c>
      <c r="T145" s="479">
        <f t="shared" si="161"/>
        <v>0</v>
      </c>
      <c r="U145" s="419">
        <f t="shared" si="139"/>
        <v>0</v>
      </c>
      <c r="V145" s="478">
        <f t="shared" si="162"/>
        <v>0</v>
      </c>
      <c r="W145" s="479">
        <f t="shared" si="162"/>
        <v>0</v>
      </c>
      <c r="X145" s="419">
        <f t="shared" si="141"/>
        <v>0</v>
      </c>
      <c r="Y145" s="478">
        <f t="shared" si="163"/>
        <v>0</v>
      </c>
      <c r="Z145" s="479">
        <f t="shared" si="163"/>
        <v>0</v>
      </c>
      <c r="AA145" s="419">
        <f t="shared" si="143"/>
        <v>0</v>
      </c>
      <c r="AB145" s="478">
        <f t="shared" si="164"/>
        <v>0</v>
      </c>
      <c r="AC145" s="479">
        <f t="shared" si="164"/>
        <v>0</v>
      </c>
      <c r="AD145" s="419">
        <f t="shared" si="145"/>
        <v>0</v>
      </c>
      <c r="AE145" s="478">
        <f t="shared" si="165"/>
        <v>0</v>
      </c>
      <c r="AF145" s="479">
        <f t="shared" si="165"/>
        <v>0</v>
      </c>
      <c r="AG145" s="419">
        <f t="shared" si="147"/>
        <v>0</v>
      </c>
      <c r="AH145" s="478">
        <f t="shared" si="166"/>
        <v>0</v>
      </c>
      <c r="AI145" s="479">
        <f t="shared" si="166"/>
        <v>0</v>
      </c>
      <c r="AJ145" s="419">
        <f t="shared" si="149"/>
        <v>0</v>
      </c>
      <c r="AK145" s="478">
        <f t="shared" si="167"/>
        <v>0</v>
      </c>
      <c r="AL145" s="479">
        <f t="shared" si="167"/>
        <v>0</v>
      </c>
      <c r="AM145" s="419">
        <f t="shared" si="151"/>
        <v>0</v>
      </c>
      <c r="AN145" s="478">
        <f t="shared" si="168"/>
        <v>0</v>
      </c>
      <c r="AO145" s="479">
        <f t="shared" si="168"/>
        <v>0</v>
      </c>
      <c r="AP145" s="419">
        <f t="shared" si="153"/>
        <v>0</v>
      </c>
      <c r="AQ145" s="478">
        <f t="shared" si="169"/>
        <v>0</v>
      </c>
      <c r="AR145" s="479">
        <f t="shared" si="169"/>
        <v>0</v>
      </c>
      <c r="AS145" s="419">
        <f t="shared" si="155"/>
        <v>0</v>
      </c>
    </row>
    <row r="146" spans="1:46" ht="15.75" thickBot="1" x14ac:dyDescent="0.3">
      <c r="A146" s="809"/>
      <c r="B146" s="811"/>
      <c r="C146" s="480" t="s">
        <v>34</v>
      </c>
      <c r="D146" s="481">
        <f t="shared" si="128"/>
        <v>0</v>
      </c>
      <c r="E146" s="482">
        <f t="shared" si="129"/>
        <v>0</v>
      </c>
      <c r="F146" s="483">
        <f t="shared" si="156"/>
        <v>0</v>
      </c>
      <c r="G146" s="484">
        <f t="shared" si="157"/>
        <v>0</v>
      </c>
      <c r="H146" s="485">
        <f t="shared" si="157"/>
        <v>0</v>
      </c>
      <c r="I146" s="426">
        <f t="shared" si="131"/>
        <v>0</v>
      </c>
      <c r="J146" s="485">
        <f t="shared" si="158"/>
        <v>0</v>
      </c>
      <c r="K146" s="485">
        <f t="shared" si="158"/>
        <v>0</v>
      </c>
      <c r="L146" s="426">
        <f t="shared" si="133"/>
        <v>0</v>
      </c>
      <c r="M146" s="485">
        <f t="shared" si="159"/>
        <v>0</v>
      </c>
      <c r="N146" s="485">
        <f t="shared" si="159"/>
        <v>0</v>
      </c>
      <c r="O146" s="426">
        <f t="shared" si="135"/>
        <v>0</v>
      </c>
      <c r="P146" s="485">
        <f t="shared" si="160"/>
        <v>0</v>
      </c>
      <c r="Q146" s="486">
        <f t="shared" si="160"/>
        <v>0</v>
      </c>
      <c r="R146" s="428">
        <f t="shared" si="137"/>
        <v>0</v>
      </c>
      <c r="S146" s="485">
        <f t="shared" si="161"/>
        <v>0</v>
      </c>
      <c r="T146" s="486">
        <f t="shared" si="161"/>
        <v>0</v>
      </c>
      <c r="U146" s="428">
        <f t="shared" si="139"/>
        <v>0</v>
      </c>
      <c r="V146" s="485">
        <f t="shared" si="162"/>
        <v>0</v>
      </c>
      <c r="W146" s="486">
        <f t="shared" si="162"/>
        <v>0</v>
      </c>
      <c r="X146" s="428">
        <f t="shared" si="141"/>
        <v>0</v>
      </c>
      <c r="Y146" s="485">
        <f t="shared" si="163"/>
        <v>0</v>
      </c>
      <c r="Z146" s="486">
        <f t="shared" si="163"/>
        <v>0</v>
      </c>
      <c r="AA146" s="428">
        <f t="shared" si="143"/>
        <v>0</v>
      </c>
      <c r="AB146" s="485">
        <f t="shared" si="164"/>
        <v>0</v>
      </c>
      <c r="AC146" s="486">
        <f t="shared" si="164"/>
        <v>0</v>
      </c>
      <c r="AD146" s="428">
        <f t="shared" si="145"/>
        <v>0</v>
      </c>
      <c r="AE146" s="485">
        <f t="shared" si="165"/>
        <v>0</v>
      </c>
      <c r="AF146" s="486">
        <f t="shared" si="165"/>
        <v>0</v>
      </c>
      <c r="AG146" s="428">
        <f t="shared" si="147"/>
        <v>0</v>
      </c>
      <c r="AH146" s="485">
        <f t="shared" si="166"/>
        <v>0</v>
      </c>
      <c r="AI146" s="486">
        <f t="shared" si="166"/>
        <v>0</v>
      </c>
      <c r="AJ146" s="428">
        <f t="shared" si="149"/>
        <v>0</v>
      </c>
      <c r="AK146" s="485">
        <f t="shared" si="167"/>
        <v>0</v>
      </c>
      <c r="AL146" s="486">
        <f t="shared" si="167"/>
        <v>0</v>
      </c>
      <c r="AM146" s="428">
        <f t="shared" si="151"/>
        <v>0</v>
      </c>
      <c r="AN146" s="485">
        <f t="shared" si="168"/>
        <v>0</v>
      </c>
      <c r="AO146" s="486">
        <f t="shared" si="168"/>
        <v>0</v>
      </c>
      <c r="AP146" s="428">
        <f t="shared" si="153"/>
        <v>0</v>
      </c>
      <c r="AQ146" s="485">
        <f t="shared" si="169"/>
        <v>0</v>
      </c>
      <c r="AR146" s="486">
        <f t="shared" si="169"/>
        <v>0</v>
      </c>
      <c r="AS146" s="428">
        <f t="shared" si="155"/>
        <v>0</v>
      </c>
    </row>
    <row r="147" spans="1:46" x14ac:dyDescent="0.25">
      <c r="A147" s="808" t="s">
        <v>39</v>
      </c>
      <c r="B147" s="810" t="s">
        <v>13</v>
      </c>
      <c r="C147" s="467" t="s">
        <v>25</v>
      </c>
      <c r="D147" s="468">
        <f t="shared" si="128"/>
        <v>0</v>
      </c>
      <c r="E147" s="469">
        <f t="shared" si="129"/>
        <v>0</v>
      </c>
      <c r="F147" s="470">
        <f t="shared" si="156"/>
        <v>0</v>
      </c>
      <c r="G147" s="487">
        <f t="shared" ref="G147:G156" si="170">G66</f>
        <v>0</v>
      </c>
      <c r="H147" s="488">
        <f t="shared" ref="H147:H156" si="171">H66*(1+$AT$147)</f>
        <v>0</v>
      </c>
      <c r="I147" s="406">
        <f t="shared" si="131"/>
        <v>0</v>
      </c>
      <c r="J147" s="488">
        <f t="shared" ref="J147:J156" si="172">J66</f>
        <v>0</v>
      </c>
      <c r="K147" s="488">
        <f t="shared" ref="K147:K156" si="173">K66*(1+$AT$147)</f>
        <v>0</v>
      </c>
      <c r="L147" s="406">
        <f t="shared" si="133"/>
        <v>0</v>
      </c>
      <c r="M147" s="488">
        <f t="shared" ref="M147:M156" si="174">M66</f>
        <v>0</v>
      </c>
      <c r="N147" s="488">
        <f t="shared" ref="N147:N156" si="175">N66*(1+$AT$147)</f>
        <v>0</v>
      </c>
      <c r="O147" s="406">
        <f t="shared" si="135"/>
        <v>0</v>
      </c>
      <c r="P147" s="488">
        <f t="shared" ref="P147:P156" si="176">P66</f>
        <v>0</v>
      </c>
      <c r="Q147" s="489">
        <f t="shared" ref="Q147:Q156" si="177">Q66*(1+$AT$147)</f>
        <v>0</v>
      </c>
      <c r="R147" s="490">
        <f t="shared" si="137"/>
        <v>0</v>
      </c>
      <c r="S147" s="488">
        <f t="shared" ref="S147:S156" si="178">S66</f>
        <v>0</v>
      </c>
      <c r="T147" s="489">
        <f t="shared" ref="T147:T156" si="179">T66*(1+$AT$147)</f>
        <v>0</v>
      </c>
      <c r="U147" s="490">
        <f t="shared" si="139"/>
        <v>0</v>
      </c>
      <c r="V147" s="488">
        <f t="shared" ref="V147:V156" si="180">V66</f>
        <v>0</v>
      </c>
      <c r="W147" s="489">
        <f t="shared" ref="W147:W156" si="181">W66*(1+$AT$147)</f>
        <v>0</v>
      </c>
      <c r="X147" s="490">
        <f t="shared" si="141"/>
        <v>0</v>
      </c>
      <c r="Y147" s="488">
        <f t="shared" ref="Y147:Y156" si="182">Y66</f>
        <v>0</v>
      </c>
      <c r="Z147" s="489">
        <f t="shared" ref="Z147:Z156" si="183">Z66*(1+$AT$147)</f>
        <v>0</v>
      </c>
      <c r="AA147" s="490">
        <f t="shared" si="143"/>
        <v>0</v>
      </c>
      <c r="AB147" s="488">
        <f t="shared" ref="AB147:AB156" si="184">AB66</f>
        <v>0</v>
      </c>
      <c r="AC147" s="489">
        <f t="shared" ref="AC147:AC156" si="185">AC66*(1+$AT$147)</f>
        <v>0</v>
      </c>
      <c r="AD147" s="490">
        <f t="shared" si="145"/>
        <v>0</v>
      </c>
      <c r="AE147" s="488">
        <f t="shared" ref="AE147:AE156" si="186">AE66</f>
        <v>0</v>
      </c>
      <c r="AF147" s="489">
        <f t="shared" ref="AF147:AF156" si="187">AF66*(1+$AT$147)</f>
        <v>0</v>
      </c>
      <c r="AG147" s="490">
        <f t="shared" si="147"/>
        <v>0</v>
      </c>
      <c r="AH147" s="488">
        <f t="shared" ref="AH147:AH156" si="188">AH66</f>
        <v>0</v>
      </c>
      <c r="AI147" s="489">
        <f t="shared" ref="AI147:AI156" si="189">AI66*(1+$AT$147)</f>
        <v>0</v>
      </c>
      <c r="AJ147" s="490">
        <f t="shared" si="149"/>
        <v>0</v>
      </c>
      <c r="AK147" s="488">
        <f t="shared" ref="AK147:AK156" si="190">AK66</f>
        <v>0</v>
      </c>
      <c r="AL147" s="489">
        <f t="shared" ref="AL147:AL156" si="191">AL66*(1+$AT$147)</f>
        <v>0</v>
      </c>
      <c r="AM147" s="490">
        <f t="shared" si="151"/>
        <v>0</v>
      </c>
      <c r="AN147" s="488">
        <f t="shared" ref="AN147:AN156" si="192">AN66</f>
        <v>0</v>
      </c>
      <c r="AO147" s="489">
        <f t="shared" ref="AO147:AO156" si="193">AO66*(1+$AT$147)</f>
        <v>0</v>
      </c>
      <c r="AP147" s="490">
        <f t="shared" si="153"/>
        <v>0</v>
      </c>
      <c r="AQ147" s="488">
        <f t="shared" ref="AQ147:AQ156" si="194">AQ66</f>
        <v>0</v>
      </c>
      <c r="AR147" s="489">
        <f t="shared" ref="AR147:AR156" si="195">AR66*(1+$AT$147)</f>
        <v>0</v>
      </c>
      <c r="AS147" s="490">
        <f t="shared" si="155"/>
        <v>0</v>
      </c>
      <c r="AT147" s="409">
        <f>'Analyza citlivosti - AgendovéIS'!H7</f>
        <v>0</v>
      </c>
    </row>
    <row r="148" spans="1:46" x14ac:dyDescent="0.25">
      <c r="A148" s="808"/>
      <c r="B148" s="810"/>
      <c r="C148" s="467" t="s">
        <v>26</v>
      </c>
      <c r="D148" s="468">
        <f t="shared" si="128"/>
        <v>0</v>
      </c>
      <c r="E148" s="469">
        <f t="shared" si="129"/>
        <v>0</v>
      </c>
      <c r="F148" s="470">
        <f t="shared" si="156"/>
        <v>0</v>
      </c>
      <c r="G148" s="477">
        <f t="shared" si="170"/>
        <v>0</v>
      </c>
      <c r="H148" s="478">
        <f t="shared" si="171"/>
        <v>0</v>
      </c>
      <c r="I148" s="417">
        <f t="shared" si="131"/>
        <v>0</v>
      </c>
      <c r="J148" s="478">
        <f t="shared" si="172"/>
        <v>0</v>
      </c>
      <c r="K148" s="478">
        <f t="shared" si="173"/>
        <v>0</v>
      </c>
      <c r="L148" s="417">
        <f t="shared" si="133"/>
        <v>0</v>
      </c>
      <c r="M148" s="478">
        <f t="shared" si="174"/>
        <v>0</v>
      </c>
      <c r="N148" s="478">
        <f t="shared" si="175"/>
        <v>0</v>
      </c>
      <c r="O148" s="417">
        <f t="shared" si="135"/>
        <v>0</v>
      </c>
      <c r="P148" s="478">
        <f t="shared" si="176"/>
        <v>0</v>
      </c>
      <c r="Q148" s="479">
        <f t="shared" si="177"/>
        <v>0</v>
      </c>
      <c r="R148" s="419">
        <f t="shared" si="137"/>
        <v>0</v>
      </c>
      <c r="S148" s="478">
        <f t="shared" si="178"/>
        <v>0</v>
      </c>
      <c r="T148" s="479">
        <f t="shared" si="179"/>
        <v>0</v>
      </c>
      <c r="U148" s="419">
        <f t="shared" si="139"/>
        <v>0</v>
      </c>
      <c r="V148" s="478">
        <f t="shared" si="180"/>
        <v>0</v>
      </c>
      <c r="W148" s="479">
        <f t="shared" si="181"/>
        <v>0</v>
      </c>
      <c r="X148" s="419">
        <f t="shared" si="141"/>
        <v>0</v>
      </c>
      <c r="Y148" s="478">
        <f t="shared" si="182"/>
        <v>0</v>
      </c>
      <c r="Z148" s="479">
        <f t="shared" si="183"/>
        <v>0</v>
      </c>
      <c r="AA148" s="419">
        <f t="shared" si="143"/>
        <v>0</v>
      </c>
      <c r="AB148" s="478">
        <f t="shared" si="184"/>
        <v>0</v>
      </c>
      <c r="AC148" s="479">
        <f t="shared" si="185"/>
        <v>0</v>
      </c>
      <c r="AD148" s="419">
        <f t="shared" si="145"/>
        <v>0</v>
      </c>
      <c r="AE148" s="478">
        <f t="shared" si="186"/>
        <v>0</v>
      </c>
      <c r="AF148" s="479">
        <f t="shared" si="187"/>
        <v>0</v>
      </c>
      <c r="AG148" s="419">
        <f t="shared" si="147"/>
        <v>0</v>
      </c>
      <c r="AH148" s="478">
        <f t="shared" si="188"/>
        <v>0</v>
      </c>
      <c r="AI148" s="479">
        <f t="shared" si="189"/>
        <v>0</v>
      </c>
      <c r="AJ148" s="419">
        <f t="shared" si="149"/>
        <v>0</v>
      </c>
      <c r="AK148" s="478">
        <f t="shared" si="190"/>
        <v>0</v>
      </c>
      <c r="AL148" s="479">
        <f t="shared" si="191"/>
        <v>0</v>
      </c>
      <c r="AM148" s="419">
        <f t="shared" si="151"/>
        <v>0</v>
      </c>
      <c r="AN148" s="478">
        <f t="shared" si="192"/>
        <v>0</v>
      </c>
      <c r="AO148" s="479">
        <f t="shared" si="193"/>
        <v>0</v>
      </c>
      <c r="AP148" s="419">
        <f t="shared" si="153"/>
        <v>0</v>
      </c>
      <c r="AQ148" s="478">
        <f t="shared" si="194"/>
        <v>0</v>
      </c>
      <c r="AR148" s="479">
        <f t="shared" si="195"/>
        <v>0</v>
      </c>
      <c r="AS148" s="419">
        <f t="shared" si="155"/>
        <v>0</v>
      </c>
    </row>
    <row r="149" spans="1:46" x14ac:dyDescent="0.25">
      <c r="A149" s="808"/>
      <c r="B149" s="810"/>
      <c r="C149" s="467" t="s">
        <v>27</v>
      </c>
      <c r="D149" s="468">
        <f t="shared" si="128"/>
        <v>0</v>
      </c>
      <c r="E149" s="469">
        <f t="shared" si="129"/>
        <v>0</v>
      </c>
      <c r="F149" s="470">
        <f t="shared" si="156"/>
        <v>0</v>
      </c>
      <c r="G149" s="477">
        <f t="shared" si="170"/>
        <v>0</v>
      </c>
      <c r="H149" s="478">
        <f t="shared" si="171"/>
        <v>0</v>
      </c>
      <c r="I149" s="417">
        <f t="shared" si="131"/>
        <v>0</v>
      </c>
      <c r="J149" s="478">
        <f t="shared" si="172"/>
        <v>0</v>
      </c>
      <c r="K149" s="478">
        <f t="shared" si="173"/>
        <v>0</v>
      </c>
      <c r="L149" s="417">
        <f t="shared" si="133"/>
        <v>0</v>
      </c>
      <c r="M149" s="478">
        <f t="shared" si="174"/>
        <v>0</v>
      </c>
      <c r="N149" s="478">
        <f t="shared" si="175"/>
        <v>0</v>
      </c>
      <c r="O149" s="417">
        <f t="shared" si="135"/>
        <v>0</v>
      </c>
      <c r="P149" s="478">
        <f t="shared" si="176"/>
        <v>0</v>
      </c>
      <c r="Q149" s="479">
        <f t="shared" si="177"/>
        <v>0</v>
      </c>
      <c r="R149" s="419">
        <f t="shared" si="137"/>
        <v>0</v>
      </c>
      <c r="S149" s="478">
        <f t="shared" si="178"/>
        <v>0</v>
      </c>
      <c r="T149" s="479">
        <f t="shared" si="179"/>
        <v>0</v>
      </c>
      <c r="U149" s="419">
        <f t="shared" si="139"/>
        <v>0</v>
      </c>
      <c r="V149" s="478">
        <f t="shared" si="180"/>
        <v>0</v>
      </c>
      <c r="W149" s="479">
        <f t="shared" si="181"/>
        <v>0</v>
      </c>
      <c r="X149" s="419">
        <f t="shared" si="141"/>
        <v>0</v>
      </c>
      <c r="Y149" s="478">
        <f t="shared" si="182"/>
        <v>0</v>
      </c>
      <c r="Z149" s="479">
        <f t="shared" si="183"/>
        <v>0</v>
      </c>
      <c r="AA149" s="419">
        <f t="shared" si="143"/>
        <v>0</v>
      </c>
      <c r="AB149" s="478">
        <f t="shared" si="184"/>
        <v>0</v>
      </c>
      <c r="AC149" s="479">
        <f t="shared" si="185"/>
        <v>0</v>
      </c>
      <c r="AD149" s="419">
        <f t="shared" si="145"/>
        <v>0</v>
      </c>
      <c r="AE149" s="478">
        <f t="shared" si="186"/>
        <v>0</v>
      </c>
      <c r="AF149" s="479">
        <f t="shared" si="187"/>
        <v>0</v>
      </c>
      <c r="AG149" s="419">
        <f t="shared" si="147"/>
        <v>0</v>
      </c>
      <c r="AH149" s="478">
        <f t="shared" si="188"/>
        <v>0</v>
      </c>
      <c r="AI149" s="479">
        <f t="shared" si="189"/>
        <v>0</v>
      </c>
      <c r="AJ149" s="419">
        <f t="shared" si="149"/>
        <v>0</v>
      </c>
      <c r="AK149" s="478">
        <f t="shared" si="190"/>
        <v>0</v>
      </c>
      <c r="AL149" s="479">
        <f t="shared" si="191"/>
        <v>0</v>
      </c>
      <c r="AM149" s="419">
        <f t="shared" si="151"/>
        <v>0</v>
      </c>
      <c r="AN149" s="478">
        <f t="shared" si="192"/>
        <v>0</v>
      </c>
      <c r="AO149" s="479">
        <f t="shared" si="193"/>
        <v>0</v>
      </c>
      <c r="AP149" s="419">
        <f t="shared" si="153"/>
        <v>0</v>
      </c>
      <c r="AQ149" s="478">
        <f t="shared" si="194"/>
        <v>0</v>
      </c>
      <c r="AR149" s="479">
        <f t="shared" si="195"/>
        <v>0</v>
      </c>
      <c r="AS149" s="419">
        <f t="shared" si="155"/>
        <v>0</v>
      </c>
    </row>
    <row r="150" spans="1:46" x14ac:dyDescent="0.25">
      <c r="A150" s="808"/>
      <c r="B150" s="810"/>
      <c r="C150" s="467" t="s">
        <v>28</v>
      </c>
      <c r="D150" s="468">
        <f t="shared" si="128"/>
        <v>0</v>
      </c>
      <c r="E150" s="469">
        <f t="shared" si="129"/>
        <v>0</v>
      </c>
      <c r="F150" s="470">
        <f t="shared" si="156"/>
        <v>0</v>
      </c>
      <c r="G150" s="477">
        <f t="shared" si="170"/>
        <v>0</v>
      </c>
      <c r="H150" s="478">
        <f t="shared" si="171"/>
        <v>0</v>
      </c>
      <c r="I150" s="417">
        <f t="shared" si="131"/>
        <v>0</v>
      </c>
      <c r="J150" s="478">
        <f t="shared" si="172"/>
        <v>0</v>
      </c>
      <c r="K150" s="478">
        <f t="shared" si="173"/>
        <v>0</v>
      </c>
      <c r="L150" s="417">
        <f t="shared" si="133"/>
        <v>0</v>
      </c>
      <c r="M150" s="478">
        <f t="shared" si="174"/>
        <v>0</v>
      </c>
      <c r="N150" s="478">
        <f t="shared" si="175"/>
        <v>0</v>
      </c>
      <c r="O150" s="417">
        <f t="shared" si="135"/>
        <v>0</v>
      </c>
      <c r="P150" s="478">
        <f t="shared" si="176"/>
        <v>0</v>
      </c>
      <c r="Q150" s="479">
        <f t="shared" si="177"/>
        <v>0</v>
      </c>
      <c r="R150" s="419">
        <f t="shared" si="137"/>
        <v>0</v>
      </c>
      <c r="S150" s="478">
        <f t="shared" si="178"/>
        <v>0</v>
      </c>
      <c r="T150" s="479">
        <f t="shared" si="179"/>
        <v>0</v>
      </c>
      <c r="U150" s="419">
        <f t="shared" si="139"/>
        <v>0</v>
      </c>
      <c r="V150" s="478">
        <f t="shared" si="180"/>
        <v>0</v>
      </c>
      <c r="W150" s="479">
        <f t="shared" si="181"/>
        <v>0</v>
      </c>
      <c r="X150" s="419">
        <f t="shared" si="141"/>
        <v>0</v>
      </c>
      <c r="Y150" s="478">
        <f t="shared" si="182"/>
        <v>0</v>
      </c>
      <c r="Z150" s="479">
        <f t="shared" si="183"/>
        <v>0</v>
      </c>
      <c r="AA150" s="419">
        <f t="shared" si="143"/>
        <v>0</v>
      </c>
      <c r="AB150" s="478">
        <f t="shared" si="184"/>
        <v>0</v>
      </c>
      <c r="AC150" s="479">
        <f t="shared" si="185"/>
        <v>0</v>
      </c>
      <c r="AD150" s="419">
        <f t="shared" si="145"/>
        <v>0</v>
      </c>
      <c r="AE150" s="478">
        <f t="shared" si="186"/>
        <v>0</v>
      </c>
      <c r="AF150" s="479">
        <f t="shared" si="187"/>
        <v>0</v>
      </c>
      <c r="AG150" s="419">
        <f t="shared" si="147"/>
        <v>0</v>
      </c>
      <c r="AH150" s="478">
        <f t="shared" si="188"/>
        <v>0</v>
      </c>
      <c r="AI150" s="479">
        <f t="shared" si="189"/>
        <v>0</v>
      </c>
      <c r="AJ150" s="419">
        <f t="shared" si="149"/>
        <v>0</v>
      </c>
      <c r="AK150" s="478">
        <f t="shared" si="190"/>
        <v>0</v>
      </c>
      <c r="AL150" s="479">
        <f t="shared" si="191"/>
        <v>0</v>
      </c>
      <c r="AM150" s="419">
        <f t="shared" si="151"/>
        <v>0</v>
      </c>
      <c r="AN150" s="478">
        <f t="shared" si="192"/>
        <v>0</v>
      </c>
      <c r="AO150" s="479">
        <f t="shared" si="193"/>
        <v>0</v>
      </c>
      <c r="AP150" s="419">
        <f t="shared" si="153"/>
        <v>0</v>
      </c>
      <c r="AQ150" s="478">
        <f t="shared" si="194"/>
        <v>0</v>
      </c>
      <c r="AR150" s="479">
        <f t="shared" si="195"/>
        <v>0</v>
      </c>
      <c r="AS150" s="419">
        <f t="shared" si="155"/>
        <v>0</v>
      </c>
    </row>
    <row r="151" spans="1:46" x14ac:dyDescent="0.25">
      <c r="A151" s="808"/>
      <c r="B151" s="810"/>
      <c r="C151" s="467" t="s">
        <v>29</v>
      </c>
      <c r="D151" s="468">
        <f t="shared" si="128"/>
        <v>0</v>
      </c>
      <c r="E151" s="469">
        <f t="shared" si="129"/>
        <v>0</v>
      </c>
      <c r="F151" s="470">
        <f t="shared" si="156"/>
        <v>0</v>
      </c>
      <c r="G151" s="477">
        <f t="shared" si="170"/>
        <v>0</v>
      </c>
      <c r="H151" s="478">
        <f t="shared" si="171"/>
        <v>0</v>
      </c>
      <c r="I151" s="417">
        <f t="shared" si="131"/>
        <v>0</v>
      </c>
      <c r="J151" s="478">
        <f t="shared" si="172"/>
        <v>0</v>
      </c>
      <c r="K151" s="478">
        <f t="shared" si="173"/>
        <v>0</v>
      </c>
      <c r="L151" s="417">
        <f t="shared" si="133"/>
        <v>0</v>
      </c>
      <c r="M151" s="478">
        <f t="shared" si="174"/>
        <v>0</v>
      </c>
      <c r="N151" s="478">
        <f t="shared" si="175"/>
        <v>0</v>
      </c>
      <c r="O151" s="417">
        <f t="shared" si="135"/>
        <v>0</v>
      </c>
      <c r="P151" s="478">
        <f t="shared" si="176"/>
        <v>0</v>
      </c>
      <c r="Q151" s="479">
        <f t="shared" si="177"/>
        <v>0</v>
      </c>
      <c r="R151" s="419">
        <f t="shared" si="137"/>
        <v>0</v>
      </c>
      <c r="S151" s="478">
        <f t="shared" si="178"/>
        <v>0</v>
      </c>
      <c r="T151" s="479">
        <f t="shared" si="179"/>
        <v>0</v>
      </c>
      <c r="U151" s="419">
        <f t="shared" si="139"/>
        <v>0</v>
      </c>
      <c r="V151" s="478">
        <f t="shared" si="180"/>
        <v>0</v>
      </c>
      <c r="W151" s="479">
        <f t="shared" si="181"/>
        <v>0</v>
      </c>
      <c r="X151" s="419">
        <f t="shared" si="141"/>
        <v>0</v>
      </c>
      <c r="Y151" s="478">
        <f t="shared" si="182"/>
        <v>0</v>
      </c>
      <c r="Z151" s="479">
        <f t="shared" si="183"/>
        <v>0</v>
      </c>
      <c r="AA151" s="419">
        <f t="shared" si="143"/>
        <v>0</v>
      </c>
      <c r="AB151" s="478">
        <f t="shared" si="184"/>
        <v>0</v>
      </c>
      <c r="AC151" s="479">
        <f t="shared" si="185"/>
        <v>0</v>
      </c>
      <c r="AD151" s="419">
        <f t="shared" si="145"/>
        <v>0</v>
      </c>
      <c r="AE151" s="478">
        <f t="shared" si="186"/>
        <v>0</v>
      </c>
      <c r="AF151" s="479">
        <f t="shared" si="187"/>
        <v>0</v>
      </c>
      <c r="AG151" s="419">
        <f t="shared" si="147"/>
        <v>0</v>
      </c>
      <c r="AH151" s="478">
        <f t="shared" si="188"/>
        <v>0</v>
      </c>
      <c r="AI151" s="479">
        <f t="shared" si="189"/>
        <v>0</v>
      </c>
      <c r="AJ151" s="419">
        <f t="shared" si="149"/>
        <v>0</v>
      </c>
      <c r="AK151" s="478">
        <f t="shared" si="190"/>
        <v>0</v>
      </c>
      <c r="AL151" s="479">
        <f t="shared" si="191"/>
        <v>0</v>
      </c>
      <c r="AM151" s="419">
        <f t="shared" si="151"/>
        <v>0</v>
      </c>
      <c r="AN151" s="478">
        <f t="shared" si="192"/>
        <v>0</v>
      </c>
      <c r="AO151" s="479">
        <f t="shared" si="193"/>
        <v>0</v>
      </c>
      <c r="AP151" s="419">
        <f t="shared" si="153"/>
        <v>0</v>
      </c>
      <c r="AQ151" s="478">
        <f t="shared" si="194"/>
        <v>0</v>
      </c>
      <c r="AR151" s="479">
        <f t="shared" si="195"/>
        <v>0</v>
      </c>
      <c r="AS151" s="419">
        <f t="shared" si="155"/>
        <v>0</v>
      </c>
    </row>
    <row r="152" spans="1:46" x14ac:dyDescent="0.25">
      <c r="A152" s="808"/>
      <c r="B152" s="810"/>
      <c r="C152" s="467" t="s">
        <v>30</v>
      </c>
      <c r="D152" s="468">
        <f t="shared" si="128"/>
        <v>0</v>
      </c>
      <c r="E152" s="469">
        <f t="shared" si="129"/>
        <v>0</v>
      </c>
      <c r="F152" s="470">
        <f t="shared" si="156"/>
        <v>0</v>
      </c>
      <c r="G152" s="477">
        <f t="shared" si="170"/>
        <v>0</v>
      </c>
      <c r="H152" s="478">
        <f t="shared" si="171"/>
        <v>0</v>
      </c>
      <c r="I152" s="417">
        <f t="shared" si="131"/>
        <v>0</v>
      </c>
      <c r="J152" s="478">
        <f t="shared" si="172"/>
        <v>0</v>
      </c>
      <c r="K152" s="478">
        <f t="shared" si="173"/>
        <v>0</v>
      </c>
      <c r="L152" s="417">
        <f t="shared" si="133"/>
        <v>0</v>
      </c>
      <c r="M152" s="478">
        <f t="shared" si="174"/>
        <v>0</v>
      </c>
      <c r="N152" s="478">
        <f t="shared" si="175"/>
        <v>0</v>
      </c>
      <c r="O152" s="417">
        <f t="shared" si="135"/>
        <v>0</v>
      </c>
      <c r="P152" s="478">
        <f t="shared" si="176"/>
        <v>0</v>
      </c>
      <c r="Q152" s="479">
        <f t="shared" si="177"/>
        <v>0</v>
      </c>
      <c r="R152" s="419">
        <f t="shared" si="137"/>
        <v>0</v>
      </c>
      <c r="S152" s="478">
        <f t="shared" si="178"/>
        <v>0</v>
      </c>
      <c r="T152" s="479">
        <f t="shared" si="179"/>
        <v>0</v>
      </c>
      <c r="U152" s="419">
        <f t="shared" si="139"/>
        <v>0</v>
      </c>
      <c r="V152" s="478">
        <f t="shared" si="180"/>
        <v>0</v>
      </c>
      <c r="W152" s="479">
        <f t="shared" si="181"/>
        <v>0</v>
      </c>
      <c r="X152" s="419">
        <f t="shared" si="141"/>
        <v>0</v>
      </c>
      <c r="Y152" s="478">
        <f t="shared" si="182"/>
        <v>0</v>
      </c>
      <c r="Z152" s="479">
        <f t="shared" si="183"/>
        <v>0</v>
      </c>
      <c r="AA152" s="419">
        <f t="shared" si="143"/>
        <v>0</v>
      </c>
      <c r="AB152" s="478">
        <f t="shared" si="184"/>
        <v>0</v>
      </c>
      <c r="AC152" s="479">
        <f t="shared" si="185"/>
        <v>0</v>
      </c>
      <c r="AD152" s="419">
        <f t="shared" si="145"/>
        <v>0</v>
      </c>
      <c r="AE152" s="478">
        <f t="shared" si="186"/>
        <v>0</v>
      </c>
      <c r="AF152" s="479">
        <f t="shared" si="187"/>
        <v>0</v>
      </c>
      <c r="AG152" s="419">
        <f t="shared" si="147"/>
        <v>0</v>
      </c>
      <c r="AH152" s="478">
        <f t="shared" si="188"/>
        <v>0</v>
      </c>
      <c r="AI152" s="479">
        <f t="shared" si="189"/>
        <v>0</v>
      </c>
      <c r="AJ152" s="419">
        <f t="shared" si="149"/>
        <v>0</v>
      </c>
      <c r="AK152" s="478">
        <f t="shared" si="190"/>
        <v>0</v>
      </c>
      <c r="AL152" s="479">
        <f t="shared" si="191"/>
        <v>0</v>
      </c>
      <c r="AM152" s="419">
        <f t="shared" si="151"/>
        <v>0</v>
      </c>
      <c r="AN152" s="478">
        <f t="shared" si="192"/>
        <v>0</v>
      </c>
      <c r="AO152" s="479">
        <f t="shared" si="193"/>
        <v>0</v>
      </c>
      <c r="AP152" s="419">
        <f t="shared" si="153"/>
        <v>0</v>
      </c>
      <c r="AQ152" s="478">
        <f t="shared" si="194"/>
        <v>0</v>
      </c>
      <c r="AR152" s="479">
        <f t="shared" si="195"/>
        <v>0</v>
      </c>
      <c r="AS152" s="419">
        <f t="shared" si="155"/>
        <v>0</v>
      </c>
    </row>
    <row r="153" spans="1:46" x14ac:dyDescent="0.25">
      <c r="A153" s="808"/>
      <c r="B153" s="810"/>
      <c r="C153" s="467" t="s">
        <v>31</v>
      </c>
      <c r="D153" s="468">
        <f t="shared" si="128"/>
        <v>0</v>
      </c>
      <c r="E153" s="469">
        <f t="shared" si="129"/>
        <v>0</v>
      </c>
      <c r="F153" s="470">
        <f t="shared" si="156"/>
        <v>0</v>
      </c>
      <c r="G153" s="477">
        <f t="shared" si="170"/>
        <v>0</v>
      </c>
      <c r="H153" s="478">
        <f t="shared" si="171"/>
        <v>0</v>
      </c>
      <c r="I153" s="417">
        <f t="shared" si="131"/>
        <v>0</v>
      </c>
      <c r="J153" s="478">
        <f t="shared" si="172"/>
        <v>0</v>
      </c>
      <c r="K153" s="478">
        <f t="shared" si="173"/>
        <v>0</v>
      </c>
      <c r="L153" s="417">
        <f t="shared" si="133"/>
        <v>0</v>
      </c>
      <c r="M153" s="478">
        <f t="shared" si="174"/>
        <v>0</v>
      </c>
      <c r="N153" s="478">
        <f t="shared" si="175"/>
        <v>0</v>
      </c>
      <c r="O153" s="417">
        <f t="shared" si="135"/>
        <v>0</v>
      </c>
      <c r="P153" s="478">
        <f t="shared" si="176"/>
        <v>0</v>
      </c>
      <c r="Q153" s="479">
        <f t="shared" si="177"/>
        <v>0</v>
      </c>
      <c r="R153" s="419">
        <f t="shared" si="137"/>
        <v>0</v>
      </c>
      <c r="S153" s="478">
        <f t="shared" si="178"/>
        <v>0</v>
      </c>
      <c r="T153" s="479">
        <f t="shared" si="179"/>
        <v>0</v>
      </c>
      <c r="U153" s="419">
        <f t="shared" si="139"/>
        <v>0</v>
      </c>
      <c r="V153" s="478">
        <f t="shared" si="180"/>
        <v>0</v>
      </c>
      <c r="W153" s="479">
        <f t="shared" si="181"/>
        <v>0</v>
      </c>
      <c r="X153" s="419">
        <f t="shared" si="141"/>
        <v>0</v>
      </c>
      <c r="Y153" s="478">
        <f t="shared" si="182"/>
        <v>0</v>
      </c>
      <c r="Z153" s="479">
        <f t="shared" si="183"/>
        <v>0</v>
      </c>
      <c r="AA153" s="419">
        <f t="shared" si="143"/>
        <v>0</v>
      </c>
      <c r="AB153" s="478">
        <f t="shared" si="184"/>
        <v>0</v>
      </c>
      <c r="AC153" s="479">
        <f t="shared" si="185"/>
        <v>0</v>
      </c>
      <c r="AD153" s="419">
        <f t="shared" si="145"/>
        <v>0</v>
      </c>
      <c r="AE153" s="478">
        <f t="shared" si="186"/>
        <v>0</v>
      </c>
      <c r="AF153" s="479">
        <f t="shared" si="187"/>
        <v>0</v>
      </c>
      <c r="AG153" s="419">
        <f t="shared" si="147"/>
        <v>0</v>
      </c>
      <c r="AH153" s="478">
        <f t="shared" si="188"/>
        <v>0</v>
      </c>
      <c r="AI153" s="479">
        <f t="shared" si="189"/>
        <v>0</v>
      </c>
      <c r="AJ153" s="419">
        <f t="shared" si="149"/>
        <v>0</v>
      </c>
      <c r="AK153" s="478">
        <f t="shared" si="190"/>
        <v>0</v>
      </c>
      <c r="AL153" s="479">
        <f t="shared" si="191"/>
        <v>0</v>
      </c>
      <c r="AM153" s="419">
        <f t="shared" si="151"/>
        <v>0</v>
      </c>
      <c r="AN153" s="478">
        <f t="shared" si="192"/>
        <v>0</v>
      </c>
      <c r="AO153" s="479">
        <f t="shared" si="193"/>
        <v>0</v>
      </c>
      <c r="AP153" s="419">
        <f t="shared" si="153"/>
        <v>0</v>
      </c>
      <c r="AQ153" s="478">
        <f t="shared" si="194"/>
        <v>0</v>
      </c>
      <c r="AR153" s="479">
        <f t="shared" si="195"/>
        <v>0</v>
      </c>
      <c r="AS153" s="419">
        <f t="shared" si="155"/>
        <v>0</v>
      </c>
    </row>
    <row r="154" spans="1:46" x14ac:dyDescent="0.25">
      <c r="A154" s="808"/>
      <c r="B154" s="810"/>
      <c r="C154" s="467" t="s">
        <v>32</v>
      </c>
      <c r="D154" s="468">
        <f t="shared" si="128"/>
        <v>0</v>
      </c>
      <c r="E154" s="469">
        <f t="shared" si="129"/>
        <v>0</v>
      </c>
      <c r="F154" s="470">
        <f t="shared" si="156"/>
        <v>0</v>
      </c>
      <c r="G154" s="477">
        <f t="shared" si="170"/>
        <v>0</v>
      </c>
      <c r="H154" s="478">
        <f t="shared" si="171"/>
        <v>0</v>
      </c>
      <c r="I154" s="417">
        <f t="shared" si="131"/>
        <v>0</v>
      </c>
      <c r="J154" s="478">
        <f t="shared" si="172"/>
        <v>0</v>
      </c>
      <c r="K154" s="478">
        <f t="shared" si="173"/>
        <v>0</v>
      </c>
      <c r="L154" s="417">
        <f t="shared" si="133"/>
        <v>0</v>
      </c>
      <c r="M154" s="478">
        <f t="shared" si="174"/>
        <v>0</v>
      </c>
      <c r="N154" s="478">
        <f t="shared" si="175"/>
        <v>0</v>
      </c>
      <c r="O154" s="417">
        <f t="shared" si="135"/>
        <v>0</v>
      </c>
      <c r="P154" s="478">
        <f t="shared" si="176"/>
        <v>0</v>
      </c>
      <c r="Q154" s="479">
        <f t="shared" si="177"/>
        <v>0</v>
      </c>
      <c r="R154" s="419">
        <f t="shared" si="137"/>
        <v>0</v>
      </c>
      <c r="S154" s="478">
        <f t="shared" si="178"/>
        <v>0</v>
      </c>
      <c r="T154" s="479">
        <f t="shared" si="179"/>
        <v>0</v>
      </c>
      <c r="U154" s="419">
        <f t="shared" si="139"/>
        <v>0</v>
      </c>
      <c r="V154" s="478">
        <f t="shared" si="180"/>
        <v>0</v>
      </c>
      <c r="W154" s="479">
        <f t="shared" si="181"/>
        <v>0</v>
      </c>
      <c r="X154" s="419">
        <f t="shared" si="141"/>
        <v>0</v>
      </c>
      <c r="Y154" s="478">
        <f t="shared" si="182"/>
        <v>0</v>
      </c>
      <c r="Z154" s="479">
        <f t="shared" si="183"/>
        <v>0</v>
      </c>
      <c r="AA154" s="419">
        <f t="shared" si="143"/>
        <v>0</v>
      </c>
      <c r="AB154" s="478">
        <f t="shared" si="184"/>
        <v>0</v>
      </c>
      <c r="AC154" s="479">
        <f t="shared" si="185"/>
        <v>0</v>
      </c>
      <c r="AD154" s="419">
        <f t="shared" si="145"/>
        <v>0</v>
      </c>
      <c r="AE154" s="478">
        <f t="shared" si="186"/>
        <v>0</v>
      </c>
      <c r="AF154" s="479">
        <f t="shared" si="187"/>
        <v>0</v>
      </c>
      <c r="AG154" s="419">
        <f t="shared" si="147"/>
        <v>0</v>
      </c>
      <c r="AH154" s="478">
        <f t="shared" si="188"/>
        <v>0</v>
      </c>
      <c r="AI154" s="479">
        <f t="shared" si="189"/>
        <v>0</v>
      </c>
      <c r="AJ154" s="419">
        <f t="shared" si="149"/>
        <v>0</v>
      </c>
      <c r="AK154" s="478">
        <f t="shared" si="190"/>
        <v>0</v>
      </c>
      <c r="AL154" s="479">
        <f t="shared" si="191"/>
        <v>0</v>
      </c>
      <c r="AM154" s="419">
        <f t="shared" si="151"/>
        <v>0</v>
      </c>
      <c r="AN154" s="478">
        <f t="shared" si="192"/>
        <v>0</v>
      </c>
      <c r="AO154" s="479">
        <f t="shared" si="193"/>
        <v>0</v>
      </c>
      <c r="AP154" s="419">
        <f t="shared" si="153"/>
        <v>0</v>
      </c>
      <c r="AQ154" s="478">
        <f t="shared" si="194"/>
        <v>0</v>
      </c>
      <c r="AR154" s="479">
        <f t="shared" si="195"/>
        <v>0</v>
      </c>
      <c r="AS154" s="419">
        <f t="shared" si="155"/>
        <v>0</v>
      </c>
    </row>
    <row r="155" spans="1:46" x14ac:dyDescent="0.25">
      <c r="A155" s="808"/>
      <c r="B155" s="810"/>
      <c r="C155" s="467" t="s">
        <v>33</v>
      </c>
      <c r="D155" s="468">
        <f t="shared" si="128"/>
        <v>0</v>
      </c>
      <c r="E155" s="469">
        <f t="shared" si="129"/>
        <v>0</v>
      </c>
      <c r="F155" s="470">
        <f t="shared" si="156"/>
        <v>0</v>
      </c>
      <c r="G155" s="477">
        <f t="shared" si="170"/>
        <v>0</v>
      </c>
      <c r="H155" s="478">
        <f t="shared" si="171"/>
        <v>0</v>
      </c>
      <c r="I155" s="417">
        <f t="shared" si="131"/>
        <v>0</v>
      </c>
      <c r="J155" s="478">
        <f t="shared" si="172"/>
        <v>0</v>
      </c>
      <c r="K155" s="478">
        <f t="shared" si="173"/>
        <v>0</v>
      </c>
      <c r="L155" s="417">
        <f t="shared" si="133"/>
        <v>0</v>
      </c>
      <c r="M155" s="478">
        <f t="shared" si="174"/>
        <v>0</v>
      </c>
      <c r="N155" s="478">
        <f t="shared" si="175"/>
        <v>0</v>
      </c>
      <c r="O155" s="417">
        <f t="shared" si="135"/>
        <v>0</v>
      </c>
      <c r="P155" s="478">
        <f t="shared" si="176"/>
        <v>0</v>
      </c>
      <c r="Q155" s="479">
        <f t="shared" si="177"/>
        <v>0</v>
      </c>
      <c r="R155" s="419">
        <f t="shared" si="137"/>
        <v>0</v>
      </c>
      <c r="S155" s="478">
        <f t="shared" si="178"/>
        <v>0</v>
      </c>
      <c r="T155" s="479">
        <f t="shared" si="179"/>
        <v>0</v>
      </c>
      <c r="U155" s="419">
        <f t="shared" si="139"/>
        <v>0</v>
      </c>
      <c r="V155" s="478">
        <f t="shared" si="180"/>
        <v>0</v>
      </c>
      <c r="W155" s="479">
        <f t="shared" si="181"/>
        <v>0</v>
      </c>
      <c r="X155" s="419">
        <f t="shared" si="141"/>
        <v>0</v>
      </c>
      <c r="Y155" s="478">
        <f t="shared" si="182"/>
        <v>0</v>
      </c>
      <c r="Z155" s="479">
        <f t="shared" si="183"/>
        <v>0</v>
      </c>
      <c r="AA155" s="419">
        <f t="shared" si="143"/>
        <v>0</v>
      </c>
      <c r="AB155" s="478">
        <f t="shared" si="184"/>
        <v>0</v>
      </c>
      <c r="AC155" s="479">
        <f t="shared" si="185"/>
        <v>0</v>
      </c>
      <c r="AD155" s="419">
        <f t="shared" si="145"/>
        <v>0</v>
      </c>
      <c r="AE155" s="478">
        <f t="shared" si="186"/>
        <v>0</v>
      </c>
      <c r="AF155" s="479">
        <f t="shared" si="187"/>
        <v>0</v>
      </c>
      <c r="AG155" s="419">
        <f t="shared" si="147"/>
        <v>0</v>
      </c>
      <c r="AH155" s="478">
        <f t="shared" si="188"/>
        <v>0</v>
      </c>
      <c r="AI155" s="479">
        <f t="shared" si="189"/>
        <v>0</v>
      </c>
      <c r="AJ155" s="419">
        <f t="shared" si="149"/>
        <v>0</v>
      </c>
      <c r="AK155" s="478">
        <f t="shared" si="190"/>
        <v>0</v>
      </c>
      <c r="AL155" s="479">
        <f t="shared" si="191"/>
        <v>0</v>
      </c>
      <c r="AM155" s="419">
        <f t="shared" si="151"/>
        <v>0</v>
      </c>
      <c r="AN155" s="478">
        <f t="shared" si="192"/>
        <v>0</v>
      </c>
      <c r="AO155" s="479">
        <f t="shared" si="193"/>
        <v>0</v>
      </c>
      <c r="AP155" s="419">
        <f t="shared" si="153"/>
        <v>0</v>
      </c>
      <c r="AQ155" s="478">
        <f t="shared" si="194"/>
        <v>0</v>
      </c>
      <c r="AR155" s="479">
        <f t="shared" si="195"/>
        <v>0</v>
      </c>
      <c r="AS155" s="419">
        <f t="shared" si="155"/>
        <v>0</v>
      </c>
    </row>
    <row r="156" spans="1:46" ht="15.75" thickBot="1" x14ac:dyDescent="0.3">
      <c r="A156" s="809"/>
      <c r="B156" s="811"/>
      <c r="C156" s="480" t="s">
        <v>34</v>
      </c>
      <c r="D156" s="481">
        <f t="shared" si="128"/>
        <v>0</v>
      </c>
      <c r="E156" s="482">
        <f t="shared" si="129"/>
        <v>0</v>
      </c>
      <c r="F156" s="483">
        <f t="shared" si="156"/>
        <v>0</v>
      </c>
      <c r="G156" s="484">
        <f t="shared" si="170"/>
        <v>0</v>
      </c>
      <c r="H156" s="485">
        <f t="shared" si="171"/>
        <v>0</v>
      </c>
      <c r="I156" s="426">
        <f t="shared" si="131"/>
        <v>0</v>
      </c>
      <c r="J156" s="485">
        <f t="shared" si="172"/>
        <v>0</v>
      </c>
      <c r="K156" s="485">
        <f t="shared" si="173"/>
        <v>0</v>
      </c>
      <c r="L156" s="426">
        <f t="shared" si="133"/>
        <v>0</v>
      </c>
      <c r="M156" s="485">
        <f t="shared" si="174"/>
        <v>0</v>
      </c>
      <c r="N156" s="485">
        <f t="shared" si="175"/>
        <v>0</v>
      </c>
      <c r="O156" s="426">
        <f t="shared" si="135"/>
        <v>0</v>
      </c>
      <c r="P156" s="485">
        <f t="shared" si="176"/>
        <v>0</v>
      </c>
      <c r="Q156" s="486">
        <f t="shared" si="177"/>
        <v>0</v>
      </c>
      <c r="R156" s="428">
        <f t="shared" si="137"/>
        <v>0</v>
      </c>
      <c r="S156" s="485">
        <f t="shared" si="178"/>
        <v>0</v>
      </c>
      <c r="T156" s="486">
        <f t="shared" si="179"/>
        <v>0</v>
      </c>
      <c r="U156" s="428">
        <f t="shared" si="139"/>
        <v>0</v>
      </c>
      <c r="V156" s="485">
        <f t="shared" si="180"/>
        <v>0</v>
      </c>
      <c r="W156" s="486">
        <f t="shared" si="181"/>
        <v>0</v>
      </c>
      <c r="X156" s="428">
        <f t="shared" si="141"/>
        <v>0</v>
      </c>
      <c r="Y156" s="485">
        <f t="shared" si="182"/>
        <v>0</v>
      </c>
      <c r="Z156" s="486">
        <f t="shared" si="183"/>
        <v>0</v>
      </c>
      <c r="AA156" s="428">
        <f t="shared" si="143"/>
        <v>0</v>
      </c>
      <c r="AB156" s="485">
        <f t="shared" si="184"/>
        <v>0</v>
      </c>
      <c r="AC156" s="486">
        <f t="shared" si="185"/>
        <v>0</v>
      </c>
      <c r="AD156" s="428">
        <f t="shared" si="145"/>
        <v>0</v>
      </c>
      <c r="AE156" s="485">
        <f t="shared" si="186"/>
        <v>0</v>
      </c>
      <c r="AF156" s="486">
        <f t="shared" si="187"/>
        <v>0</v>
      </c>
      <c r="AG156" s="428">
        <f t="shared" si="147"/>
        <v>0</v>
      </c>
      <c r="AH156" s="485">
        <f t="shared" si="188"/>
        <v>0</v>
      </c>
      <c r="AI156" s="486">
        <f t="shared" si="189"/>
        <v>0</v>
      </c>
      <c r="AJ156" s="428">
        <f t="shared" si="149"/>
        <v>0</v>
      </c>
      <c r="AK156" s="485">
        <f t="shared" si="190"/>
        <v>0</v>
      </c>
      <c r="AL156" s="486">
        <f t="shared" si="191"/>
        <v>0</v>
      </c>
      <c r="AM156" s="428">
        <f t="shared" si="151"/>
        <v>0</v>
      </c>
      <c r="AN156" s="485">
        <f t="shared" si="192"/>
        <v>0</v>
      </c>
      <c r="AO156" s="486">
        <f t="shared" si="193"/>
        <v>0</v>
      </c>
      <c r="AP156" s="428">
        <f t="shared" si="153"/>
        <v>0</v>
      </c>
      <c r="AQ156" s="485">
        <f t="shared" si="194"/>
        <v>0</v>
      </c>
      <c r="AR156" s="486">
        <f t="shared" si="195"/>
        <v>0</v>
      </c>
      <c r="AS156" s="428">
        <f t="shared" si="155"/>
        <v>0</v>
      </c>
    </row>
  </sheetData>
  <sheetProtection insertColumns="0" deleteColumns="0"/>
  <mergeCells count="83">
    <mergeCell ref="A77:A86"/>
    <mergeCell ref="B77:B86"/>
    <mergeCell ref="P4:R4"/>
    <mergeCell ref="S4:U4"/>
    <mergeCell ref="P1:R1"/>
    <mergeCell ref="S1:U1"/>
    <mergeCell ref="P2:R2"/>
    <mergeCell ref="S2:U2"/>
    <mergeCell ref="P3:R3"/>
    <mergeCell ref="S3:U3"/>
    <mergeCell ref="M2:O2"/>
    <mergeCell ref="M1:O1"/>
    <mergeCell ref="B16:B25"/>
    <mergeCell ref="A26:A35"/>
    <mergeCell ref="B26:B35"/>
    <mergeCell ref="J1:L1"/>
    <mergeCell ref="V1:X1"/>
    <mergeCell ref="Y1:AA1"/>
    <mergeCell ref="AB1:AD1"/>
    <mergeCell ref="AE1:AG1"/>
    <mergeCell ref="V2:X2"/>
    <mergeCell ref="Y2:AA2"/>
    <mergeCell ref="AB2:AD2"/>
    <mergeCell ref="AE2:AG2"/>
    <mergeCell ref="AN1:AP1"/>
    <mergeCell ref="AN2:AP2"/>
    <mergeCell ref="AN3:AP3"/>
    <mergeCell ref="AN4:AP4"/>
    <mergeCell ref="AH1:AJ1"/>
    <mergeCell ref="AK1:AM1"/>
    <mergeCell ref="AH2:AJ2"/>
    <mergeCell ref="AK2:AM2"/>
    <mergeCell ref="AH3:AJ3"/>
    <mergeCell ref="AK3:AM3"/>
    <mergeCell ref="AH4:AJ4"/>
    <mergeCell ref="AK4:AM4"/>
    <mergeCell ref="AQ2:AS2"/>
    <mergeCell ref="M3:O3"/>
    <mergeCell ref="AQ3:AS3"/>
    <mergeCell ref="G4:I4"/>
    <mergeCell ref="J4:L4"/>
    <mergeCell ref="M4:O4"/>
    <mergeCell ref="AQ4:AS4"/>
    <mergeCell ref="V3:X3"/>
    <mergeCell ref="Y3:AA3"/>
    <mergeCell ref="AB3:AD3"/>
    <mergeCell ref="AE3:AG3"/>
    <mergeCell ref="V4:X4"/>
    <mergeCell ref="Y4:AA4"/>
    <mergeCell ref="AB4:AD4"/>
    <mergeCell ref="AE4:AG4"/>
    <mergeCell ref="AQ1:AS1"/>
    <mergeCell ref="A87:A96"/>
    <mergeCell ref="B87:B96"/>
    <mergeCell ref="A147:A156"/>
    <mergeCell ref="B147:B156"/>
    <mergeCell ref="A127:A136"/>
    <mergeCell ref="B127:B136"/>
    <mergeCell ref="A107:A116"/>
    <mergeCell ref="B107:B116"/>
    <mergeCell ref="A137:A146"/>
    <mergeCell ref="B137:B146"/>
    <mergeCell ref="A117:A126"/>
    <mergeCell ref="B117:B126"/>
    <mergeCell ref="A97:A106"/>
    <mergeCell ref="B97:B106"/>
    <mergeCell ref="A16:A25"/>
    <mergeCell ref="D1:F1"/>
    <mergeCell ref="G1:I1"/>
    <mergeCell ref="G3:I3"/>
    <mergeCell ref="J3:L3"/>
    <mergeCell ref="G2:I2"/>
    <mergeCell ref="J2:L2"/>
    <mergeCell ref="A66:A75"/>
    <mergeCell ref="B66:B75"/>
    <mergeCell ref="A56:A65"/>
    <mergeCell ref="B56:B65"/>
    <mergeCell ref="A6:A15"/>
    <mergeCell ref="B6:B15"/>
    <mergeCell ref="A36:A45"/>
    <mergeCell ref="B36:B45"/>
    <mergeCell ref="A46:A55"/>
    <mergeCell ref="B46:B55"/>
  </mergeCells>
  <pageMargins left="0.7" right="0.7" top="0.75" bottom="0.75" header="0.3" footer="0.3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M44"/>
  <sheetViews>
    <sheetView view="pageBreakPreview" zoomScaleNormal="85" zoomScaleSheetLayoutView="100" workbookViewId="0">
      <selection activeCell="C14" activeCellId="2" sqref="C7 C9 C14"/>
    </sheetView>
  </sheetViews>
  <sheetFormatPr defaultColWidth="8.85546875" defaultRowHeight="15" outlineLevelCol="1" x14ac:dyDescent="0.25"/>
  <cols>
    <col min="2" max="2" width="54.140625" customWidth="1"/>
    <col min="3" max="3" width="22.7109375" bestFit="1" customWidth="1"/>
    <col min="4" max="13" width="16" customWidth="1" outlineLevel="1"/>
  </cols>
  <sheetData>
    <row r="1" spans="1:13" ht="21" x14ac:dyDescent="0.35">
      <c r="A1" s="103" t="s">
        <v>103</v>
      </c>
      <c r="B1" s="104"/>
      <c r="D1" s="92"/>
      <c r="E1" s="90"/>
      <c r="F1" s="90"/>
      <c r="G1" s="90"/>
      <c r="H1" s="90"/>
      <c r="I1" s="90"/>
      <c r="J1" s="90"/>
      <c r="K1" s="90"/>
      <c r="L1" s="90"/>
      <c r="M1" s="86"/>
    </row>
    <row r="2" spans="1:13" ht="15.75" x14ac:dyDescent="0.25">
      <c r="A2" s="105"/>
      <c r="B2" s="91"/>
      <c r="D2" s="88"/>
      <c r="E2" s="88"/>
      <c r="F2" s="88"/>
      <c r="G2" s="88"/>
      <c r="H2" s="88"/>
      <c r="I2" s="88"/>
      <c r="J2" s="88"/>
      <c r="K2" s="88"/>
      <c r="L2" s="88"/>
      <c r="M2" s="82"/>
    </row>
    <row r="3" spans="1:13" ht="15.75" x14ac:dyDescent="0.25">
      <c r="A3" s="219" t="s">
        <v>193</v>
      </c>
      <c r="B3" s="91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x14ac:dyDescent="0.25"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15.75" thickBot="1" x14ac:dyDescent="0.3">
      <c r="A5" s="92"/>
      <c r="B5" s="93"/>
      <c r="C5" s="87"/>
      <c r="D5" s="813" t="s">
        <v>104</v>
      </c>
      <c r="E5" s="813"/>
      <c r="F5" s="813"/>
      <c r="G5" s="813"/>
      <c r="H5" s="813"/>
      <c r="I5" s="813"/>
      <c r="J5" s="813"/>
      <c r="K5" s="813"/>
      <c r="L5" s="813"/>
      <c r="M5" s="813"/>
    </row>
    <row r="6" spans="1:13" x14ac:dyDescent="0.25">
      <c r="A6" s="216"/>
      <c r="B6" s="213" t="s">
        <v>170</v>
      </c>
      <c r="C6" s="97" t="s">
        <v>108</v>
      </c>
      <c r="D6" s="111" t="s">
        <v>25</v>
      </c>
      <c r="E6" s="112" t="s">
        <v>26</v>
      </c>
      <c r="F6" s="112" t="s">
        <v>27</v>
      </c>
      <c r="G6" s="112" t="s">
        <v>28</v>
      </c>
      <c r="H6" s="112" t="s">
        <v>29</v>
      </c>
      <c r="I6" s="112" t="s">
        <v>30</v>
      </c>
      <c r="J6" s="112" t="s">
        <v>31</v>
      </c>
      <c r="K6" s="112" t="s">
        <v>32</v>
      </c>
      <c r="L6" s="112" t="s">
        <v>33</v>
      </c>
      <c r="M6" s="113" t="s">
        <v>34</v>
      </c>
    </row>
    <row r="7" spans="1:13" x14ac:dyDescent="0.25">
      <c r="A7" s="217"/>
      <c r="B7" s="214" t="s">
        <v>111</v>
      </c>
      <c r="C7" s="98">
        <f t="shared" ref="C7:C14" si="0">SUM(D7:M7)</f>
        <v>3757056</v>
      </c>
      <c r="D7" s="114">
        <f>'TCO TO BE- SW'!$E5+'TCO TO BE- SW'!$E15</f>
        <v>3757056</v>
      </c>
      <c r="E7" s="95">
        <f>'TCO TO BE- SW'!$E6+'TCO TO BE- SW'!$E16</f>
        <v>0</v>
      </c>
      <c r="F7" s="95">
        <f>'TCO TO BE- SW'!$E7+'TCO TO BE- SW'!$E17</f>
        <v>0</v>
      </c>
      <c r="G7" s="95">
        <f>'TCO TO BE- SW'!$E8+'TCO TO BE- SW'!$E18</f>
        <v>0</v>
      </c>
      <c r="H7" s="95">
        <f>'TCO TO BE- SW'!$E9+'TCO TO BE- SW'!$E19</f>
        <v>0</v>
      </c>
      <c r="I7" s="95">
        <f>'TCO TO BE- SW'!$E10+'TCO TO BE- SW'!$E20</f>
        <v>0</v>
      </c>
      <c r="J7" s="95">
        <f>'TCO TO BE- SW'!$E11+'TCO TO BE- SW'!$E21</f>
        <v>0</v>
      </c>
      <c r="K7" s="95">
        <f>'TCO TO BE- SW'!$E12+'TCO TO BE- SW'!$E22</f>
        <v>0</v>
      </c>
      <c r="L7" s="95">
        <f>'TCO TO BE- SW'!$E13+'TCO TO BE- SW'!$E23</f>
        <v>0</v>
      </c>
      <c r="M7" s="115">
        <f>'TCO TO BE- SW'!$E14+'TCO TO BE- SW'!$E24</f>
        <v>0</v>
      </c>
    </row>
    <row r="8" spans="1:13" x14ac:dyDescent="0.25">
      <c r="A8" s="217"/>
      <c r="B8" s="214" t="s">
        <v>112</v>
      </c>
      <c r="C8" s="98">
        <f t="shared" si="0"/>
        <v>0</v>
      </c>
      <c r="D8" s="114">
        <f>'TCO TO BE- SW'!$E58+'TCO TO BE- SW'!$E68</f>
        <v>0</v>
      </c>
      <c r="E8" s="95">
        <f>'TCO TO BE- SW'!$E59+'TCO TO BE- SW'!$E69</f>
        <v>0</v>
      </c>
      <c r="F8" s="95">
        <f>'TCO TO BE- SW'!$E60+'TCO TO BE- SW'!$E70</f>
        <v>0</v>
      </c>
      <c r="G8" s="95">
        <f>'TCO TO BE- SW'!$E61+'TCO TO BE- SW'!$E71</f>
        <v>0</v>
      </c>
      <c r="H8" s="95">
        <f>'TCO TO BE- SW'!$E62+'TCO TO BE- SW'!$E72</f>
        <v>0</v>
      </c>
      <c r="I8" s="95">
        <f>'TCO TO BE- SW'!$E63+'TCO TO BE- SW'!$E73</f>
        <v>0</v>
      </c>
      <c r="J8" s="95">
        <f>'TCO TO BE- SW'!$E64+'TCO TO BE- SW'!$E74</f>
        <v>0</v>
      </c>
      <c r="K8" s="95">
        <f>'TCO TO BE- SW'!$E65+'TCO TO BE- SW'!$E75</f>
        <v>0</v>
      </c>
      <c r="L8" s="95">
        <f>'TCO TO BE- SW'!$E66+'TCO TO BE- SW'!$E76</f>
        <v>0</v>
      </c>
      <c r="M8" s="115">
        <f>'TCO TO BE- SW'!$E67+'TCO TO BE- SW'!$E77</f>
        <v>0</v>
      </c>
    </row>
    <row r="9" spans="1:13" x14ac:dyDescent="0.25">
      <c r="A9" s="217"/>
      <c r="B9" s="214" t="s">
        <v>113</v>
      </c>
      <c r="C9" s="98">
        <f t="shared" si="0"/>
        <v>13054054</v>
      </c>
      <c r="D9" s="114">
        <f>'TCO TO BE- SW'!$E26+'TCO TO BE- SW'!$E36+'TCO TO BE- SW'!$E46</f>
        <v>4390495.2</v>
      </c>
      <c r="E9" s="95">
        <f>'TCO TO BE- SW'!$E27+'TCO TO BE- SW'!$E37+'TCO TO BE- SW'!$E47</f>
        <v>7589868.3000000007</v>
      </c>
      <c r="F9" s="95">
        <f>'TCO TO BE- SW'!$E28+'TCO TO BE- SW'!$E38+'TCO TO BE- SW'!$E48</f>
        <v>1073690.5</v>
      </c>
      <c r="G9" s="95">
        <f>'TCO TO BE- SW'!$E29+'TCO TO BE- SW'!$E39+'TCO TO BE- SW'!$E49</f>
        <v>0</v>
      </c>
      <c r="H9" s="95">
        <f>'TCO TO BE- SW'!$E30+'TCO TO BE- SW'!$E40+'TCO TO BE- SW'!$E50</f>
        <v>0</v>
      </c>
      <c r="I9" s="95">
        <f>'TCO TO BE- SW'!$E31+'TCO TO BE- SW'!$E41+'TCO TO BE- SW'!$E51</f>
        <v>0</v>
      </c>
      <c r="J9" s="95">
        <f>'TCO TO BE- SW'!$E32+'TCO TO BE- SW'!$E42+'TCO TO BE- SW'!$E52</f>
        <v>0</v>
      </c>
      <c r="K9" s="95">
        <f>'TCO TO BE- SW'!$E33+'TCO TO BE- SW'!$E43+'TCO TO BE- SW'!$E53</f>
        <v>0</v>
      </c>
      <c r="L9" s="95">
        <f>'TCO TO BE- SW'!$E34+'TCO TO BE- SW'!$E44+'TCO TO BE- SW'!$E54</f>
        <v>0</v>
      </c>
      <c r="M9" s="115">
        <f>'TCO TO BE- SW'!$E35+'TCO TO BE- SW'!$E45+'TCO TO BE- SW'!$E55</f>
        <v>0</v>
      </c>
    </row>
    <row r="10" spans="1:13" x14ac:dyDescent="0.25">
      <c r="A10" s="217"/>
      <c r="B10" s="214" t="s">
        <v>114</v>
      </c>
      <c r="C10" s="98">
        <f t="shared" si="0"/>
        <v>7978485.6000000006</v>
      </c>
      <c r="D10" s="114">
        <f>'TCO TO BE- SW'!$E79+'TCO TO BE- SW'!$E89+'TCO TO BE- SW'!$E99+'TCO TO BE- SW'!$E109+'TCO TO BE- SW'!$E119</f>
        <v>0</v>
      </c>
      <c r="E10" s="95">
        <f>'TCO TO BE- SW'!$E80+'TCO TO BE- SW'!$E90+'TCO TO BE- SW'!$E100+'TCO TO BE- SW'!$E110+'TCO TO BE- SW'!$E120</f>
        <v>0</v>
      </c>
      <c r="F10" s="95">
        <f>'TCO TO BE- SW'!$E81+'TCO TO BE- SW'!$E91+'TCO TO BE- SW'!$E101+'TCO TO BE- SW'!$E111+'TCO TO BE- SW'!$E121</f>
        <v>997310.7</v>
      </c>
      <c r="G10" s="95">
        <f>'TCO TO BE- SW'!$E82+'TCO TO BE- SW'!$E92+'TCO TO BE- SW'!$E102+'TCO TO BE- SW'!$E112+'TCO TO BE- SW'!$E122</f>
        <v>997310.7</v>
      </c>
      <c r="H10" s="95">
        <f>'TCO TO BE- SW'!$E83+'TCO TO BE- SW'!$E93+'TCO TO BE- SW'!$E103+'TCO TO BE- SW'!$E113+'TCO TO BE- SW'!$E123</f>
        <v>997310.7</v>
      </c>
      <c r="I10" s="95">
        <f>'TCO TO BE- SW'!$E84+'TCO TO BE- SW'!$E94+'TCO TO BE- SW'!$E104+'TCO TO BE- SW'!$E114+'TCO TO BE- SW'!$E124</f>
        <v>997310.7</v>
      </c>
      <c r="J10" s="95">
        <f>'TCO TO BE- SW'!$E85+'TCO TO BE- SW'!$E95+'TCO TO BE- SW'!$E105+'TCO TO BE- SW'!$E115+'TCO TO BE- SW'!$E125</f>
        <v>997310.7</v>
      </c>
      <c r="K10" s="95">
        <f>'TCO TO BE- SW'!$E86+'TCO TO BE- SW'!$E96+'TCO TO BE- SW'!$E106+'TCO TO BE- SW'!$E116+'TCO TO BE- SW'!$E126</f>
        <v>997310.7</v>
      </c>
      <c r="L10" s="95">
        <f>'TCO TO BE- SW'!$E87+'TCO TO BE- SW'!$E97+'TCO TO BE- SW'!$E107+'TCO TO BE- SW'!$E117+'TCO TO BE- SW'!$E127</f>
        <v>997310.7</v>
      </c>
      <c r="M10" s="115">
        <f>'TCO TO BE- SW'!$E88+'TCO TO BE- SW'!$E98+'TCO TO BE- SW'!$E108+'TCO TO BE- SW'!$E118+'TCO TO BE- SW'!$E128</f>
        <v>997310.7</v>
      </c>
    </row>
    <row r="11" spans="1:13" x14ac:dyDescent="0.25">
      <c r="A11" s="217"/>
      <c r="B11" s="214" t="s">
        <v>353</v>
      </c>
      <c r="C11" s="98">
        <f t="shared" si="0"/>
        <v>0</v>
      </c>
      <c r="D11" s="114">
        <f>'TCO TO BE- SW'!E151+'TCO TO BE- SW'!E161</f>
        <v>0</v>
      </c>
      <c r="E11" s="95">
        <f>'TCO TO BE- SW'!E152+'TCO TO BE- SW'!E162</f>
        <v>0</v>
      </c>
      <c r="F11" s="95">
        <f>'TCO TO BE- SW'!E153+'TCO TO BE- SW'!E163</f>
        <v>0</v>
      </c>
      <c r="G11" s="95">
        <f>'TCO TO BE- SW'!E154+'TCO TO BE- SW'!E164</f>
        <v>0</v>
      </c>
      <c r="H11" s="95">
        <f>'TCO TO BE- SW'!E155+'TCO TO BE- SW'!E165</f>
        <v>0</v>
      </c>
      <c r="I11" s="95">
        <f>'TCO TO BE- SW'!E156+'TCO TO BE- SW'!E166</f>
        <v>0</v>
      </c>
      <c r="J11" s="95">
        <f>'TCO TO BE- SW'!E157+'TCO TO BE- SW'!E167</f>
        <v>0</v>
      </c>
      <c r="K11" s="95">
        <f>'TCO TO BE- SW'!E158+'TCO TO BE- SW'!E168</f>
        <v>0</v>
      </c>
      <c r="L11" s="95">
        <f>'TCO TO BE- SW'!E159+'TCO TO BE- SW'!E169</f>
        <v>0</v>
      </c>
      <c r="M11" s="115">
        <f>'TCO TO BE- SW'!E160+'TCO TO BE- SW'!E170</f>
        <v>0</v>
      </c>
    </row>
    <row r="12" spans="1:13" x14ac:dyDescent="0.25">
      <c r="A12" s="217"/>
      <c r="B12" s="214" t="s">
        <v>105</v>
      </c>
      <c r="C12" s="98">
        <f t="shared" si="0"/>
        <v>0</v>
      </c>
      <c r="D12" s="114">
        <f>'TCO TO BE - HW'!$E4+'TCO TO BE - HW'!$E14+'TCO TO BE - HW'!$E24</f>
        <v>0</v>
      </c>
      <c r="E12" s="95">
        <f>'TCO TO BE - HW'!$E5+'TCO TO BE - HW'!$E15+'TCO TO BE - HW'!$E25</f>
        <v>0</v>
      </c>
      <c r="F12" s="95">
        <f>'TCO TO BE - HW'!$E6+'TCO TO BE - HW'!$E16+'TCO TO BE - HW'!$E26</f>
        <v>0</v>
      </c>
      <c r="G12" s="95">
        <f>'TCO TO BE - HW'!$E7+'TCO TO BE - HW'!$E17+'TCO TO BE - HW'!$E27</f>
        <v>0</v>
      </c>
      <c r="H12" s="95">
        <f>'TCO TO BE - HW'!$E8+'TCO TO BE - HW'!$E18+'TCO TO BE - HW'!$E28</f>
        <v>0</v>
      </c>
      <c r="I12" s="95">
        <f>'TCO TO BE - HW'!$E9+'TCO TO BE - HW'!$E19+'TCO TO BE - HW'!$E29</f>
        <v>0</v>
      </c>
      <c r="J12" s="95">
        <f>'TCO TO BE - HW'!$E10+'TCO TO BE - HW'!$E20+'TCO TO BE - HW'!$E30</f>
        <v>0</v>
      </c>
      <c r="K12" s="95">
        <f>'TCO TO BE - HW'!$E11+'TCO TO BE - HW'!$E21+'TCO TO BE - HW'!$E31</f>
        <v>0</v>
      </c>
      <c r="L12" s="95">
        <f>'TCO TO BE - HW'!$E12+'TCO TO BE - HW'!$E22+'TCO TO BE - HW'!$E32</f>
        <v>0</v>
      </c>
      <c r="M12" s="115">
        <f>'TCO TO BE - HW'!$E13+'TCO TO BE - HW'!$E23+'TCO TO BE - HW'!$E33</f>
        <v>0</v>
      </c>
    </row>
    <row r="13" spans="1:13" x14ac:dyDescent="0.25">
      <c r="A13" s="217"/>
      <c r="B13" s="214" t="s">
        <v>106</v>
      </c>
      <c r="C13" s="98">
        <f t="shared" si="0"/>
        <v>0</v>
      </c>
      <c r="D13" s="114">
        <f>'TCO TO BE - HW'!$E35+'TCO TO BE - HW'!$E45+'TCO TO BE - HW'!$E55+'TCO TO BE - HW'!$E65+'TCO TO BE - HW'!$E75</f>
        <v>0</v>
      </c>
      <c r="E13" s="95">
        <f>'TCO TO BE - HW'!$E36+'TCO TO BE - HW'!$E46+'TCO TO BE - HW'!$E56+'TCO TO BE - HW'!$E66+'TCO TO BE - HW'!$E76</f>
        <v>0</v>
      </c>
      <c r="F13" s="95">
        <f>'TCO TO BE - HW'!$E37+'TCO TO BE - HW'!$E47+'TCO TO BE - HW'!$E57+'TCO TO BE - HW'!$E67+'TCO TO BE - HW'!$E77</f>
        <v>0</v>
      </c>
      <c r="G13" s="95">
        <f>'TCO TO BE - HW'!$E38+'TCO TO BE - HW'!$E48+'TCO TO BE - HW'!$E58+'TCO TO BE - HW'!$E68+'TCO TO BE - HW'!$E78</f>
        <v>0</v>
      </c>
      <c r="H13" s="95">
        <f>'TCO TO BE - HW'!$E39+'TCO TO BE - HW'!$E49+'TCO TO BE - HW'!$E59+'TCO TO BE - HW'!$E69+'TCO TO BE - HW'!$E79</f>
        <v>0</v>
      </c>
      <c r="I13" s="95">
        <f>'TCO TO BE - HW'!$E40+'TCO TO BE - HW'!$E50+'TCO TO BE - HW'!$E60+'TCO TO BE - HW'!$E70+'TCO TO BE - HW'!$E80</f>
        <v>0</v>
      </c>
      <c r="J13" s="95">
        <f>'TCO TO BE - HW'!$E41+'TCO TO BE - HW'!$E51+'TCO TO BE - HW'!$E61+'TCO TO BE - HW'!$E71+'TCO TO BE - HW'!$E81</f>
        <v>0</v>
      </c>
      <c r="K13" s="95">
        <f>'TCO TO BE - HW'!$E42+'TCO TO BE - HW'!$E52+'TCO TO BE - HW'!$E62+'TCO TO BE - HW'!$E72+'TCO TO BE - HW'!$E82</f>
        <v>0</v>
      </c>
      <c r="L13" s="95">
        <f>'TCO TO BE - HW'!$E43+'TCO TO BE - HW'!$E53+'TCO TO BE - HW'!$E63+'TCO TO BE - HW'!$E73+'TCO TO BE - HW'!$E83</f>
        <v>0</v>
      </c>
      <c r="M13" s="115">
        <f>'TCO TO BE - HW'!$E44+'TCO TO BE - HW'!$E54+'TCO TO BE - HW'!$E64+'TCO TO BE - HW'!$E74+'TCO TO BE - HW'!$E84</f>
        <v>0</v>
      </c>
    </row>
    <row r="14" spans="1:13" ht="15.75" thickBot="1" x14ac:dyDescent="0.3">
      <c r="A14" s="217"/>
      <c r="B14" s="515" t="s">
        <v>320</v>
      </c>
      <c r="C14" s="516">
        <f t="shared" si="0"/>
        <v>1187900</v>
      </c>
      <c r="D14" s="519">
        <f>'TCO TO BE- SW'!E130+'TCO TO BE- SW'!E140</f>
        <v>420000</v>
      </c>
      <c r="E14" s="520">
        <f>'TCO TO BE- SW'!E131+'TCO TO BE- SW'!E141</f>
        <v>449900</v>
      </c>
      <c r="F14" s="520">
        <f>'TCO TO BE- SW'!E132+'TCO TO BE- SW'!E142</f>
        <v>318000</v>
      </c>
      <c r="G14" s="520">
        <f>'TCO TO BE- SW'!E133+'TCO TO BE- SW'!E143</f>
        <v>0</v>
      </c>
      <c r="H14" s="520">
        <f>'TCO TO BE- SW'!E134+'TCO TO BE- SW'!E144</f>
        <v>0</v>
      </c>
      <c r="I14" s="520">
        <f>'TCO TO BE- SW'!E135+'TCO TO BE- SW'!E145</f>
        <v>0</v>
      </c>
      <c r="J14" s="520">
        <f>'TCO TO BE- SW'!E136+'TCO TO BE- SW'!E146</f>
        <v>0</v>
      </c>
      <c r="K14" s="520">
        <f>'TCO TO BE- SW'!E137+'TCO TO BE- SW'!E147</f>
        <v>0</v>
      </c>
      <c r="L14" s="520">
        <f>'TCO TO BE- SW'!E138+'TCO TO BE- SW'!E148</f>
        <v>0</v>
      </c>
      <c r="M14" s="521">
        <f>'TCO TO BE- SW'!E139+'TCO TO BE- SW'!E149</f>
        <v>0</v>
      </c>
    </row>
    <row r="15" spans="1:13" ht="15.75" thickBot="1" x14ac:dyDescent="0.3">
      <c r="A15" s="218"/>
      <c r="B15" s="215" t="s">
        <v>107</v>
      </c>
      <c r="C15" s="100">
        <f>SUM(C7:C14)</f>
        <v>25977495.600000001</v>
      </c>
      <c r="D15" s="96">
        <f>SUM(D7:D14)</f>
        <v>8567551.1999999993</v>
      </c>
      <c r="E15" s="85">
        <f t="shared" ref="E15:M15" si="1">SUM(E7:E13)</f>
        <v>7589868.3000000007</v>
      </c>
      <c r="F15" s="85">
        <f t="shared" si="1"/>
        <v>2071001.2</v>
      </c>
      <c r="G15" s="85">
        <f t="shared" si="1"/>
        <v>997310.7</v>
      </c>
      <c r="H15" s="85">
        <f t="shared" si="1"/>
        <v>997310.7</v>
      </c>
      <c r="I15" s="85">
        <f t="shared" si="1"/>
        <v>997310.7</v>
      </c>
      <c r="J15" s="85">
        <f t="shared" si="1"/>
        <v>997310.7</v>
      </c>
      <c r="K15" s="85">
        <f t="shared" si="1"/>
        <v>997310.7</v>
      </c>
      <c r="L15" s="102">
        <f t="shared" si="1"/>
        <v>997310.7</v>
      </c>
      <c r="M15" s="101">
        <f t="shared" si="1"/>
        <v>997310.7</v>
      </c>
    </row>
    <row r="16" spans="1:13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ht="32.25" customHeight="1" x14ac:dyDescent="0.25">
      <c r="A18" s="814" t="s">
        <v>119</v>
      </c>
      <c r="B18" s="814"/>
      <c r="C18" s="814"/>
      <c r="D18" s="89"/>
      <c r="E18" s="88"/>
      <c r="F18" s="88"/>
      <c r="G18" s="88"/>
      <c r="H18" s="88"/>
      <c r="I18" s="88"/>
      <c r="J18" s="88"/>
      <c r="K18" s="88"/>
      <c r="L18" s="88"/>
      <c r="M18" s="82"/>
    </row>
    <row r="19" spans="1:13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5.75" thickBot="1" x14ac:dyDescent="0.3">
      <c r="A20" s="92"/>
      <c r="B20" s="93"/>
      <c r="C20" s="87"/>
      <c r="D20" s="813" t="s">
        <v>104</v>
      </c>
      <c r="E20" s="813"/>
      <c r="F20" s="813"/>
      <c r="G20" s="813"/>
      <c r="H20" s="813"/>
      <c r="I20" s="813"/>
      <c r="J20" s="813"/>
      <c r="K20" s="813"/>
      <c r="L20" s="813"/>
      <c r="M20" s="813"/>
    </row>
    <row r="21" spans="1:13" ht="17.100000000000001" customHeight="1" x14ac:dyDescent="0.25">
      <c r="A21" s="216"/>
      <c r="B21" s="212" t="s">
        <v>227</v>
      </c>
      <c r="C21" s="97" t="s">
        <v>108</v>
      </c>
      <c r="D21" s="111" t="s">
        <v>25</v>
      </c>
      <c r="E21" s="112" t="s">
        <v>26</v>
      </c>
      <c r="F21" s="112" t="s">
        <v>27</v>
      </c>
      <c r="G21" s="112" t="s">
        <v>28</v>
      </c>
      <c r="H21" s="112" t="s">
        <v>29</v>
      </c>
      <c r="I21" s="112" t="s">
        <v>30</v>
      </c>
      <c r="J21" s="112" t="s">
        <v>31</v>
      </c>
      <c r="K21" s="112" t="s">
        <v>32</v>
      </c>
      <c r="L21" s="112" t="s">
        <v>33</v>
      </c>
      <c r="M21" s="113" t="s">
        <v>34</v>
      </c>
    </row>
    <row r="22" spans="1:13" ht="15" customHeight="1" x14ac:dyDescent="0.25">
      <c r="A22" s="217"/>
      <c r="B22" s="109" t="s">
        <v>111</v>
      </c>
      <c r="C22" s="98">
        <v>0</v>
      </c>
      <c r="D22" s="114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115">
        <v>0</v>
      </c>
    </row>
    <row r="23" spans="1:13" ht="17.25" customHeight="1" x14ac:dyDescent="0.25">
      <c r="A23" s="217"/>
      <c r="B23" s="109" t="s">
        <v>112</v>
      </c>
      <c r="C23" s="98">
        <f>SUM(D23:M23)</f>
        <v>0</v>
      </c>
      <c r="D23" s="114">
        <f>'TCO AS IS - SW'!E5+'TCO AS IS - SW'!E15</f>
        <v>0</v>
      </c>
      <c r="E23" s="95">
        <f>'TCO AS IS - SW'!E6+'TCO AS IS - SW'!E16</f>
        <v>0</v>
      </c>
      <c r="F23" s="95">
        <f>'TCO AS IS - SW'!E7+'TCO AS IS - SW'!E17</f>
        <v>0</v>
      </c>
      <c r="G23" s="95">
        <f>'TCO AS IS - SW'!E8+'TCO AS IS - SW'!E18</f>
        <v>0</v>
      </c>
      <c r="H23" s="95">
        <f>'TCO AS IS - SW'!E9+'TCO AS IS - SW'!E19</f>
        <v>0</v>
      </c>
      <c r="I23" s="95">
        <f>'TCO AS IS - SW'!E10+'TCO AS IS - SW'!E20</f>
        <v>0</v>
      </c>
      <c r="J23" s="95">
        <f>'TCO AS IS - SW'!E11+'TCO AS IS - SW'!E21</f>
        <v>0</v>
      </c>
      <c r="K23" s="95">
        <f>'TCO AS IS - SW'!E12+'TCO AS IS - SW'!E22</f>
        <v>0</v>
      </c>
      <c r="L23" s="95">
        <f>'TCO AS IS - SW'!E13+'TCO AS IS - SW'!E23</f>
        <v>0</v>
      </c>
      <c r="M23" s="115">
        <f>'TCO AS IS - SW'!E14+'TCO AS IS - SW'!E24</f>
        <v>0</v>
      </c>
    </row>
    <row r="24" spans="1:13" x14ac:dyDescent="0.25">
      <c r="A24" s="217"/>
      <c r="B24" s="109" t="s">
        <v>113</v>
      </c>
      <c r="C24" s="98">
        <v>0</v>
      </c>
      <c r="D24" s="114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115">
        <v>0</v>
      </c>
    </row>
    <row r="25" spans="1:13" x14ac:dyDescent="0.25">
      <c r="A25" s="217"/>
      <c r="B25" s="109" t="s">
        <v>114</v>
      </c>
      <c r="C25" s="98">
        <f>SUM(D25:M25)</f>
        <v>0</v>
      </c>
      <c r="D25" s="114">
        <f>'TCO AS IS - SW'!E26+'TCO AS IS - SW'!E36+'TCO AS IS - SW'!E46+'TCO AS IS - SW'!E56+'TCO AS IS - SW'!E66</f>
        <v>0</v>
      </c>
      <c r="E25" s="95">
        <f>'TCO AS IS - SW'!E27+'TCO AS IS - SW'!E37+'TCO AS IS - SW'!E47+'TCO AS IS - SW'!E57+'TCO AS IS - SW'!E67</f>
        <v>0</v>
      </c>
      <c r="F25" s="95">
        <f>'TCO AS IS - SW'!E28+'TCO AS IS - SW'!E38+'TCO AS IS - SW'!E48+'TCO AS IS - SW'!E58+'TCO AS IS - SW'!E68</f>
        <v>0</v>
      </c>
      <c r="G25" s="95">
        <f>'TCO AS IS - SW'!E29+'TCO AS IS - SW'!E39+'TCO AS IS - SW'!E49+'TCO AS IS - SW'!E59+'TCO AS IS - SW'!E69</f>
        <v>0</v>
      </c>
      <c r="H25" s="95">
        <f>'TCO AS IS - SW'!E30+'TCO AS IS - SW'!E40+'TCO AS IS - SW'!E50+'TCO AS IS - SW'!E60+'TCO AS IS - SW'!E70</f>
        <v>0</v>
      </c>
      <c r="I25" s="95">
        <f>'TCO AS IS - SW'!E31+'TCO AS IS - SW'!E41+'TCO AS IS - SW'!E51+'TCO AS IS - SW'!E61+'TCO AS IS - SW'!E71</f>
        <v>0</v>
      </c>
      <c r="J25" s="95">
        <f>'TCO AS IS - SW'!E32+'TCO AS IS - SW'!E42+'TCO AS IS - SW'!E52+'TCO AS IS - SW'!E62+'TCO AS IS - SW'!E72</f>
        <v>0</v>
      </c>
      <c r="K25" s="95">
        <f>'TCO AS IS - SW'!E33+'TCO AS IS - SW'!E43+'TCO AS IS - SW'!E53+'TCO AS IS - SW'!E63+'TCO AS IS - SW'!E73</f>
        <v>0</v>
      </c>
      <c r="L25" s="95">
        <f>'TCO AS IS - SW'!E34+'TCO AS IS - SW'!E44+'TCO AS IS - SW'!E54+'TCO AS IS - SW'!E64+'TCO AS IS - SW'!E74</f>
        <v>0</v>
      </c>
      <c r="M25" s="115">
        <f>'TCO AS IS - SW'!E35+'TCO AS IS - SW'!E45+'TCO AS IS - SW'!E55+'TCO AS IS - SW'!E65+'TCO AS IS - SW'!E75</f>
        <v>0</v>
      </c>
    </row>
    <row r="26" spans="1:13" x14ac:dyDescent="0.25">
      <c r="A26" s="217"/>
      <c r="B26" s="109" t="s">
        <v>105</v>
      </c>
      <c r="C26" s="98">
        <v>0</v>
      </c>
      <c r="D26" s="114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115">
        <v>0</v>
      </c>
    </row>
    <row r="27" spans="1:13" ht="15.75" thickBot="1" x14ac:dyDescent="0.3">
      <c r="A27" s="217"/>
      <c r="B27" s="110" t="s">
        <v>106</v>
      </c>
      <c r="C27" s="99">
        <f>SUM(D27:M27)</f>
        <v>0</v>
      </c>
      <c r="D27" s="116">
        <f>'TCO AS IS - HW'!E4+'TCO AS IS - HW'!E14+'TCO AS IS - HW'!E24+'TCO AS IS - HW'!E34+'TCO AS IS - HW'!E44</f>
        <v>0</v>
      </c>
      <c r="E27" s="117">
        <f>'TCO AS IS - HW'!E5+'TCO AS IS - HW'!E15+'TCO AS IS - HW'!E25+'TCO AS IS - HW'!E35+'TCO AS IS - HW'!E45</f>
        <v>0</v>
      </c>
      <c r="F27" s="117">
        <f>'TCO AS IS - HW'!E6+'TCO AS IS - HW'!E16+'TCO AS IS - HW'!E26+'TCO AS IS - HW'!E36+'TCO AS IS - HW'!E46</f>
        <v>0</v>
      </c>
      <c r="G27" s="117">
        <f>'TCO AS IS - HW'!E7+'TCO AS IS - HW'!E17+'TCO AS IS - HW'!E27+'TCO AS IS - HW'!E37+'TCO AS IS - HW'!E47</f>
        <v>0</v>
      </c>
      <c r="H27" s="117">
        <f>'TCO AS IS - HW'!E8+'TCO AS IS - HW'!E18+'TCO AS IS - HW'!E28+'TCO AS IS - HW'!E38+'TCO AS IS - HW'!E48</f>
        <v>0</v>
      </c>
      <c r="I27" s="117">
        <f>'TCO AS IS - HW'!E9+'TCO AS IS - HW'!E19+'TCO AS IS - HW'!E29+'TCO AS IS - HW'!E39+'TCO AS IS - HW'!E49</f>
        <v>0</v>
      </c>
      <c r="J27" s="117">
        <f>'TCO AS IS - HW'!E10+'TCO AS IS - HW'!E20+'TCO AS IS - HW'!E30+'TCO AS IS - HW'!E40+'TCO AS IS - HW'!E50</f>
        <v>0</v>
      </c>
      <c r="K27" s="117">
        <f>'TCO AS IS - HW'!E11+'TCO AS IS - HW'!E21+'TCO AS IS - HW'!E31+'TCO AS IS - HW'!E41+'TCO AS IS - HW'!E51</f>
        <v>0</v>
      </c>
      <c r="L27" s="117">
        <f>'TCO AS IS - HW'!E12+'TCO AS IS - HW'!E22+'TCO AS IS - HW'!E32+'TCO AS IS - HW'!E42+'TCO AS IS - HW'!E52</f>
        <v>0</v>
      </c>
      <c r="M27" s="118">
        <f>'TCO AS IS - HW'!E13+'TCO AS IS - HW'!E23+'TCO AS IS - HW'!E33+'TCO AS IS - HW'!E43+'TCO AS IS - HW'!E53</f>
        <v>0</v>
      </c>
    </row>
    <row r="28" spans="1:13" ht="15.75" thickBot="1" x14ac:dyDescent="0.3">
      <c r="A28" s="218"/>
      <c r="B28" s="94" t="s">
        <v>107</v>
      </c>
      <c r="C28" s="100">
        <f t="shared" ref="C28:M28" si="2">SUM(C22:C27)</f>
        <v>0</v>
      </c>
      <c r="D28" s="96">
        <f t="shared" si="2"/>
        <v>0</v>
      </c>
      <c r="E28" s="85">
        <f t="shared" si="2"/>
        <v>0</v>
      </c>
      <c r="F28" s="85">
        <f t="shared" si="2"/>
        <v>0</v>
      </c>
      <c r="G28" s="85">
        <f t="shared" si="2"/>
        <v>0</v>
      </c>
      <c r="H28" s="85">
        <f t="shared" si="2"/>
        <v>0</v>
      </c>
      <c r="I28" s="85">
        <f t="shared" si="2"/>
        <v>0</v>
      </c>
      <c r="J28" s="85">
        <f t="shared" si="2"/>
        <v>0</v>
      </c>
      <c r="K28" s="85">
        <f t="shared" si="2"/>
        <v>0</v>
      </c>
      <c r="L28" s="102">
        <f t="shared" si="2"/>
        <v>0</v>
      </c>
      <c r="M28" s="101">
        <f t="shared" si="2"/>
        <v>0</v>
      </c>
    </row>
    <row r="29" spans="1:13" x14ac:dyDescent="0.25">
      <c r="A29" s="209"/>
      <c r="B29" s="210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</row>
    <row r="32" spans="1:13" ht="15.75" customHeight="1" x14ac:dyDescent="0.25">
      <c r="A32" s="814" t="s">
        <v>213</v>
      </c>
      <c r="B32" s="814"/>
      <c r="C32" s="814"/>
    </row>
    <row r="34" spans="1:13" ht="15.75" thickBot="1" x14ac:dyDescent="0.3"/>
    <row r="35" spans="1:13" x14ac:dyDescent="0.25">
      <c r="A35" s="216"/>
      <c r="B35" s="212" t="s">
        <v>163</v>
      </c>
      <c r="C35" s="162" t="s">
        <v>108</v>
      </c>
      <c r="D35" s="163" t="s">
        <v>25</v>
      </c>
      <c r="E35" s="164" t="s">
        <v>26</v>
      </c>
      <c r="F35" s="164" t="s">
        <v>27</v>
      </c>
      <c r="G35" s="164" t="s">
        <v>28</v>
      </c>
      <c r="H35" s="164" t="s">
        <v>29</v>
      </c>
      <c r="I35" s="164" t="s">
        <v>30</v>
      </c>
      <c r="J35" s="164" t="s">
        <v>31</v>
      </c>
      <c r="K35" s="164" t="s">
        <v>32</v>
      </c>
      <c r="L35" s="164" t="s">
        <v>33</v>
      </c>
      <c r="M35" s="165" t="s">
        <v>34</v>
      </c>
    </row>
    <row r="36" spans="1:13" x14ac:dyDescent="0.25">
      <c r="A36" s="217"/>
      <c r="B36" s="166" t="s">
        <v>111</v>
      </c>
      <c r="C36" s="167">
        <f t="shared" ref="C36:C44" si="3">SUM(D36:M36)</f>
        <v>3757056</v>
      </c>
      <c r="D36" s="168">
        <f t="shared" ref="D36:M36" si="4">D7-D22</f>
        <v>3757056</v>
      </c>
      <c r="E36" s="169">
        <f t="shared" si="4"/>
        <v>0</v>
      </c>
      <c r="F36" s="169">
        <f t="shared" si="4"/>
        <v>0</v>
      </c>
      <c r="G36" s="169">
        <f t="shared" si="4"/>
        <v>0</v>
      </c>
      <c r="H36" s="169">
        <f t="shared" si="4"/>
        <v>0</v>
      </c>
      <c r="I36" s="169">
        <f t="shared" si="4"/>
        <v>0</v>
      </c>
      <c r="J36" s="169">
        <f t="shared" si="4"/>
        <v>0</v>
      </c>
      <c r="K36" s="169">
        <f t="shared" si="4"/>
        <v>0</v>
      </c>
      <c r="L36" s="169">
        <f t="shared" si="4"/>
        <v>0</v>
      </c>
      <c r="M36" s="176">
        <f t="shared" si="4"/>
        <v>0</v>
      </c>
    </row>
    <row r="37" spans="1:13" x14ac:dyDescent="0.25">
      <c r="A37" s="217"/>
      <c r="B37" s="171" t="s">
        <v>112</v>
      </c>
      <c r="C37" s="167">
        <f t="shared" si="3"/>
        <v>0</v>
      </c>
      <c r="D37" s="168">
        <f t="shared" ref="D37:M37" si="5">D8-D23</f>
        <v>0</v>
      </c>
      <c r="E37" s="169">
        <f t="shared" si="5"/>
        <v>0</v>
      </c>
      <c r="F37" s="169">
        <f t="shared" si="5"/>
        <v>0</v>
      </c>
      <c r="G37" s="169">
        <f t="shared" si="5"/>
        <v>0</v>
      </c>
      <c r="H37" s="169">
        <f t="shared" si="5"/>
        <v>0</v>
      </c>
      <c r="I37" s="169">
        <f t="shared" si="5"/>
        <v>0</v>
      </c>
      <c r="J37" s="169">
        <f t="shared" si="5"/>
        <v>0</v>
      </c>
      <c r="K37" s="169">
        <f t="shared" si="5"/>
        <v>0</v>
      </c>
      <c r="L37" s="177">
        <f t="shared" si="5"/>
        <v>0</v>
      </c>
      <c r="M37" s="170">
        <f t="shared" si="5"/>
        <v>0</v>
      </c>
    </row>
    <row r="38" spans="1:13" x14ac:dyDescent="0.25">
      <c r="A38" s="217"/>
      <c r="B38" s="166" t="s">
        <v>113</v>
      </c>
      <c r="C38" s="167">
        <f t="shared" si="3"/>
        <v>13054054</v>
      </c>
      <c r="D38" s="168">
        <f t="shared" ref="D38:M38" si="6">D9-D24</f>
        <v>4390495.2</v>
      </c>
      <c r="E38" s="169">
        <f t="shared" si="6"/>
        <v>7589868.3000000007</v>
      </c>
      <c r="F38" s="169">
        <f t="shared" si="6"/>
        <v>1073690.5</v>
      </c>
      <c r="G38" s="169">
        <f t="shared" si="6"/>
        <v>0</v>
      </c>
      <c r="H38" s="169">
        <f t="shared" si="6"/>
        <v>0</v>
      </c>
      <c r="I38" s="169">
        <f t="shared" si="6"/>
        <v>0</v>
      </c>
      <c r="J38" s="169">
        <f t="shared" si="6"/>
        <v>0</v>
      </c>
      <c r="K38" s="169">
        <f t="shared" si="6"/>
        <v>0</v>
      </c>
      <c r="L38" s="177">
        <f t="shared" si="6"/>
        <v>0</v>
      </c>
      <c r="M38" s="170">
        <f t="shared" si="6"/>
        <v>0</v>
      </c>
    </row>
    <row r="39" spans="1:13" x14ac:dyDescent="0.25">
      <c r="A39" s="217"/>
      <c r="B39" s="109" t="s">
        <v>114</v>
      </c>
      <c r="C39" s="167">
        <f t="shared" si="3"/>
        <v>7978485.6000000006</v>
      </c>
      <c r="D39" s="168">
        <f t="shared" ref="D39:M39" si="7">D10-D25</f>
        <v>0</v>
      </c>
      <c r="E39" s="169">
        <f t="shared" si="7"/>
        <v>0</v>
      </c>
      <c r="F39" s="169">
        <f t="shared" si="7"/>
        <v>997310.7</v>
      </c>
      <c r="G39" s="169">
        <f t="shared" si="7"/>
        <v>997310.7</v>
      </c>
      <c r="H39" s="169">
        <f t="shared" si="7"/>
        <v>997310.7</v>
      </c>
      <c r="I39" s="169">
        <f t="shared" si="7"/>
        <v>997310.7</v>
      </c>
      <c r="J39" s="169">
        <f t="shared" si="7"/>
        <v>997310.7</v>
      </c>
      <c r="K39" s="169">
        <f t="shared" si="7"/>
        <v>997310.7</v>
      </c>
      <c r="L39" s="177">
        <f t="shared" si="7"/>
        <v>997310.7</v>
      </c>
      <c r="M39" s="170">
        <f t="shared" si="7"/>
        <v>997310.7</v>
      </c>
    </row>
    <row r="40" spans="1:13" x14ac:dyDescent="0.25">
      <c r="A40" s="217"/>
      <c r="B40" s="109" t="s">
        <v>353</v>
      </c>
      <c r="C40" s="167">
        <f t="shared" si="3"/>
        <v>0</v>
      </c>
      <c r="D40" s="168">
        <f t="shared" ref="D40:M40" si="8">D11</f>
        <v>0</v>
      </c>
      <c r="E40" s="169">
        <f t="shared" si="8"/>
        <v>0</v>
      </c>
      <c r="F40" s="169">
        <f t="shared" si="8"/>
        <v>0</v>
      </c>
      <c r="G40" s="169">
        <f t="shared" si="8"/>
        <v>0</v>
      </c>
      <c r="H40" s="169">
        <f t="shared" si="8"/>
        <v>0</v>
      </c>
      <c r="I40" s="169">
        <f t="shared" si="8"/>
        <v>0</v>
      </c>
      <c r="J40" s="169">
        <f t="shared" si="8"/>
        <v>0</v>
      </c>
      <c r="K40" s="169">
        <f t="shared" si="8"/>
        <v>0</v>
      </c>
      <c r="L40" s="177">
        <f t="shared" si="8"/>
        <v>0</v>
      </c>
      <c r="M40" s="170">
        <f t="shared" si="8"/>
        <v>0</v>
      </c>
    </row>
    <row r="41" spans="1:13" x14ac:dyDescent="0.25">
      <c r="A41" s="217"/>
      <c r="B41" s="109" t="s">
        <v>165</v>
      </c>
      <c r="C41" s="167">
        <f t="shared" si="3"/>
        <v>0</v>
      </c>
      <c r="D41" s="168">
        <f t="shared" ref="D41:M41" si="9">D12-D26</f>
        <v>0</v>
      </c>
      <c r="E41" s="169">
        <f t="shared" si="9"/>
        <v>0</v>
      </c>
      <c r="F41" s="169">
        <f t="shared" si="9"/>
        <v>0</v>
      </c>
      <c r="G41" s="169">
        <f t="shared" si="9"/>
        <v>0</v>
      </c>
      <c r="H41" s="169">
        <f t="shared" si="9"/>
        <v>0</v>
      </c>
      <c r="I41" s="169">
        <f t="shared" si="9"/>
        <v>0</v>
      </c>
      <c r="J41" s="169">
        <f t="shared" si="9"/>
        <v>0</v>
      </c>
      <c r="K41" s="169">
        <f t="shared" si="9"/>
        <v>0</v>
      </c>
      <c r="L41" s="177">
        <f t="shared" si="9"/>
        <v>0</v>
      </c>
      <c r="M41" s="170">
        <f t="shared" si="9"/>
        <v>0</v>
      </c>
    </row>
    <row r="42" spans="1:13" x14ac:dyDescent="0.25">
      <c r="A42" s="217"/>
      <c r="B42" s="172" t="s">
        <v>166</v>
      </c>
      <c r="C42" s="173">
        <f t="shared" si="3"/>
        <v>0</v>
      </c>
      <c r="D42" s="168">
        <f t="shared" ref="D42:M42" si="10">D13-D27</f>
        <v>0</v>
      </c>
      <c r="E42" s="169">
        <f t="shared" si="10"/>
        <v>0</v>
      </c>
      <c r="F42" s="169">
        <f t="shared" si="10"/>
        <v>0</v>
      </c>
      <c r="G42" s="169">
        <f t="shared" si="10"/>
        <v>0</v>
      </c>
      <c r="H42" s="169">
        <f t="shared" si="10"/>
        <v>0</v>
      </c>
      <c r="I42" s="169">
        <f t="shared" si="10"/>
        <v>0</v>
      </c>
      <c r="J42" s="169">
        <f t="shared" si="10"/>
        <v>0</v>
      </c>
      <c r="K42" s="169">
        <f t="shared" si="10"/>
        <v>0</v>
      </c>
      <c r="L42" s="177">
        <f t="shared" si="10"/>
        <v>0</v>
      </c>
      <c r="M42" s="170">
        <f t="shared" si="10"/>
        <v>0</v>
      </c>
    </row>
    <row r="43" spans="1:13" ht="15.75" thickBot="1" x14ac:dyDescent="0.3">
      <c r="A43" s="217"/>
      <c r="B43" s="109" t="s">
        <v>320</v>
      </c>
      <c r="C43" s="167">
        <f t="shared" si="3"/>
        <v>1187900</v>
      </c>
      <c r="D43" s="168">
        <f t="shared" ref="D43:M43" si="11">D14</f>
        <v>420000</v>
      </c>
      <c r="E43" s="169">
        <f t="shared" si="11"/>
        <v>449900</v>
      </c>
      <c r="F43" s="169">
        <f t="shared" si="11"/>
        <v>318000</v>
      </c>
      <c r="G43" s="169">
        <f t="shared" si="11"/>
        <v>0</v>
      </c>
      <c r="H43" s="169">
        <f t="shared" si="11"/>
        <v>0</v>
      </c>
      <c r="I43" s="169">
        <f t="shared" si="11"/>
        <v>0</v>
      </c>
      <c r="J43" s="169">
        <f t="shared" si="11"/>
        <v>0</v>
      </c>
      <c r="K43" s="169">
        <f t="shared" si="11"/>
        <v>0</v>
      </c>
      <c r="L43" s="177">
        <f t="shared" si="11"/>
        <v>0</v>
      </c>
      <c r="M43" s="170">
        <f t="shared" si="11"/>
        <v>0</v>
      </c>
    </row>
    <row r="44" spans="1:13" ht="15.75" thickBot="1" x14ac:dyDescent="0.3">
      <c r="A44" s="218"/>
      <c r="B44" s="94" t="s">
        <v>107</v>
      </c>
      <c r="C44" s="174">
        <f t="shared" si="3"/>
        <v>25977495.599999994</v>
      </c>
      <c r="D44" s="175">
        <f t="shared" ref="D44:M44" si="12">SUM(D36:D43)</f>
        <v>8567551.1999999993</v>
      </c>
      <c r="E44" s="175">
        <f t="shared" si="12"/>
        <v>8039768.3000000007</v>
      </c>
      <c r="F44" s="175">
        <f t="shared" si="12"/>
        <v>2389001.2000000002</v>
      </c>
      <c r="G44" s="175">
        <f t="shared" si="12"/>
        <v>997310.7</v>
      </c>
      <c r="H44" s="175">
        <f t="shared" si="12"/>
        <v>997310.7</v>
      </c>
      <c r="I44" s="175">
        <f t="shared" si="12"/>
        <v>997310.7</v>
      </c>
      <c r="J44" s="175">
        <f t="shared" si="12"/>
        <v>997310.7</v>
      </c>
      <c r="K44" s="175">
        <f t="shared" si="12"/>
        <v>997310.7</v>
      </c>
      <c r="L44" s="175">
        <f t="shared" si="12"/>
        <v>997310.7</v>
      </c>
      <c r="M44" s="175">
        <f t="shared" si="12"/>
        <v>997310.7</v>
      </c>
    </row>
  </sheetData>
  <mergeCells count="4">
    <mergeCell ref="D5:M5"/>
    <mergeCell ref="A18:C18"/>
    <mergeCell ref="D20:M20"/>
    <mergeCell ref="A32:C32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Úvod</vt:lpstr>
      <vt:lpstr>Zoznam hárkov</vt:lpstr>
      <vt:lpstr>Sumarizácia</vt:lpstr>
      <vt:lpstr>CBA - Agendové IS</vt:lpstr>
      <vt:lpstr>Analyza citlivosti - AgendovéIS</vt:lpstr>
      <vt:lpstr>Prínosy - Agendové IS</vt:lpstr>
      <vt:lpstr>Výdavky - Agendové IS</vt:lpstr>
      <vt:lpstr>Parametre - Agendové IS</vt:lpstr>
      <vt:lpstr>TCO</vt:lpstr>
      <vt:lpstr>TCO AS IS - SW</vt:lpstr>
      <vt:lpstr>TCO AS IS - HW</vt:lpstr>
      <vt:lpstr>TCO TO BE- SW</vt:lpstr>
      <vt:lpstr>TCO TO BE - HW</vt:lpstr>
      <vt:lpstr>Rozpočet - vývoj Aplikácií</vt:lpstr>
      <vt:lpstr>Zdroje</vt:lpstr>
      <vt:lpstr>Rozpočet - HW a licencie</vt:lpstr>
      <vt:lpstr>rozpočet podľa aktivít</vt:lpstr>
      <vt:lpstr>Slepý rozpočet</vt:lpstr>
      <vt:lpstr>Faktory</vt:lpstr>
      <vt:lpstr>Procesné mapy</vt:lpstr>
      <vt:lpstr>Procesy - AS IS</vt:lpstr>
      <vt:lpstr>Procesy - TO BE</vt:lpstr>
      <vt:lpstr>Rozdelenie prínosov</vt:lpstr>
      <vt:lpstr>'Procesné mapy'!Print_Area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 Martin</dc:creator>
  <cp:lastModifiedBy>Lenka Kristoficova</cp:lastModifiedBy>
  <cp:lastPrinted>2018-08-24T09:21:09Z</cp:lastPrinted>
  <dcterms:created xsi:type="dcterms:W3CDTF">2015-01-29T13:50:20Z</dcterms:created>
  <dcterms:modified xsi:type="dcterms:W3CDTF">2019-05-23T10:20:54Z</dcterms:modified>
</cp:coreProperties>
</file>